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filterPrivacy="1"/>
  <xr:revisionPtr revIDLastSave="0" documentId="8_{5492634A-3C9D-4A44-A979-10749235770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Calendar" sheetId="1" r:id="rId1"/>
  </sheets>
  <definedNames>
    <definedName name="AprSun1">DATEVALUE("4/1/"&amp;Calendar!$B$3)-WEEKDAY(DATEVALUE("4/1/"&amp;Calendar!$B$3))+1</definedName>
    <definedName name="AugSun1">DATEVALUE("8/1/"&amp;Calendar!$B$3)-WEEKDAY(DATEVALUE("8/1/"&amp;Calendar!$B$3))+1</definedName>
    <definedName name="ColumnTitleRegion1..H9.1">Calendar!$B$8</definedName>
    <definedName name="ColumnTitleRegion1..I9.1">Calendar!$B$8</definedName>
    <definedName name="ColumnTitleRegion10..AF9.1">Calendar!#REF!</definedName>
    <definedName name="ColumnTitleRegion10..AG9.1">Calendar!#REF!</definedName>
    <definedName name="ColumnTitleRegion11..AF18.1">Calendar!#REF!</definedName>
    <definedName name="ColumnTitleRegion11..AG18.1">Calendar!#REF!</definedName>
    <definedName name="ColumnTitleRegion12..AF27.1">Calendar!#REF!</definedName>
    <definedName name="ColumnTitleRegion12..AG27.1">Calendar!#REF!</definedName>
    <definedName name="ColumnTitleRegion2..H18.1">Calendar!$B$17</definedName>
    <definedName name="ColumnTitleRegion2..I18.1">Calendar!$B$17</definedName>
    <definedName name="ColumnTitleRegion3..H27.1">Calendar!$B$26</definedName>
    <definedName name="ColumnTitleRegion3..I27.1">Calendar!$B$26</definedName>
    <definedName name="ColumnTitleRegion4..P9.1">Calendar!$R$8</definedName>
    <definedName name="ColumnTitleRegion4..Q9.1">Calendar!$R$8</definedName>
    <definedName name="ColumnTitleRegion5..P18.1">Calendar!$R$17</definedName>
    <definedName name="ColumnTitleRegion5..Q18.1">Calendar!$R$17</definedName>
    <definedName name="ColumnTitleRegion6..P27.1">Calendar!$R$26</definedName>
    <definedName name="ColumnTitleRegion6..Q27.1">Calendar!$R$26</definedName>
    <definedName name="ColumnTitleRegion7..X9.1">Calendar!#REF!</definedName>
    <definedName name="ColumnTitleRegion7..Y9.1">Calendar!#REF!</definedName>
    <definedName name="ColumnTitleRegion8..X18.1">Calendar!#REF!</definedName>
    <definedName name="ColumnTitleRegion8..Y18.1">Calendar!#REF!</definedName>
    <definedName name="ColumnTitleRegion9..X27.1">Calendar!#REF!</definedName>
    <definedName name="ColumnTitleRegion9..Y27.1">Calendar!#REF!</definedName>
    <definedName name="DecSun1">DATEVALUE("12/1/"&amp;Calendar!$B$3)-WEEKDAY(DATEVALUE("12/1/"&amp;Calendar!$B$3))+1</definedName>
    <definedName name="FebSun1">DATEVALUE("2/1/"&amp;Calendar!$B$3)-WEEKDAY(DATEVALUE("2/1/"&amp;Calendar!$B$3))+1</definedName>
    <definedName name="JanSun1">DATEVALUE("1/1/"&amp;Calendar!$B$3)-WEEKDAY(DATEVALUE("1/1/"&amp;Calendar!$B$3))+1</definedName>
    <definedName name="JulSun1">DATEVALUE("7/1/"&amp;Calendar!$B$3)-WEEKDAY(DATEVALUE("7/1/"&amp;Calendar!$B$3))+1</definedName>
    <definedName name="JunSun1">DATEVALUE("6/1/"&amp;Calendar!$B$3)-WEEKDAY(DATEVALUE("6/1/"&amp;Calendar!$B$3))+1</definedName>
    <definedName name="MarSun1">DATEVALUE("3/1/"&amp;Calendar!$B$3)-WEEKDAY(DATEVALUE("3/1/"&amp;Calendar!$B$3))+1</definedName>
    <definedName name="MaySun1">DATEVALUE("5/1/"&amp;Calendar!$B$3)-WEEKDAY(DATEVALUE("5/1/"&amp;Calendar!$B$3))+1</definedName>
    <definedName name="NovSun1">DATEVALUE("11/1/"&amp;Calendar!$B$3)-WEEKDAY(DATEVALUE("11/1/"&amp;Calendar!$B$3))+1</definedName>
    <definedName name="OctSun1">DATEVALUE("10/1/"&amp;Calendar!$B$3)-WEEKDAY(DATEVALUE("10/1/"&amp;Calendar!$B$3))+1</definedName>
    <definedName name="_xlnm.Print_Area" localSheetId="0">Calendar!$A$1:$Y$51</definedName>
    <definedName name="SepSun1">DATEVALUE("9/1/"&amp;Calendar!$B$3)-WEEKDAY(DATEVALUE("9/1/"&amp;Calendar!$B$3))+1</definedName>
    <definedName name="Year">Calendar!$B$3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0" i="1" l="1"/>
  <c r="L38" i="1"/>
  <c r="S27" i="1"/>
  <c r="D9" i="1"/>
  <c r="P14" i="1"/>
  <c r="U36" i="1" l="1"/>
  <c r="R37" i="1"/>
  <c r="V37" i="1"/>
  <c r="S38" i="1"/>
  <c r="W38" i="1"/>
  <c r="T39" i="1"/>
  <c r="X39" i="1"/>
  <c r="U40" i="1"/>
  <c r="R41" i="1"/>
  <c r="V41" i="1"/>
  <c r="X36" i="1"/>
  <c r="R38" i="1"/>
  <c r="S39" i="1"/>
  <c r="T40" i="1"/>
  <c r="U41" i="1"/>
  <c r="R36" i="1"/>
  <c r="V36" i="1"/>
  <c r="S37" i="1"/>
  <c r="W37" i="1"/>
  <c r="T38" i="1"/>
  <c r="X38" i="1"/>
  <c r="U39" i="1"/>
  <c r="R40" i="1"/>
  <c r="V40" i="1"/>
  <c r="S41" i="1"/>
  <c r="W41" i="1"/>
  <c r="T36" i="1"/>
  <c r="U37" i="1"/>
  <c r="V38" i="1"/>
  <c r="W39" i="1"/>
  <c r="X40" i="1"/>
  <c r="S36" i="1"/>
  <c r="W36" i="1"/>
  <c r="T37" i="1"/>
  <c r="X37" i="1"/>
  <c r="U38" i="1"/>
  <c r="R39" i="1"/>
  <c r="V39" i="1"/>
  <c r="S40" i="1"/>
  <c r="W40" i="1"/>
  <c r="T41" i="1"/>
  <c r="X41" i="1"/>
  <c r="L36" i="1"/>
  <c r="P36" i="1"/>
  <c r="M37" i="1"/>
  <c r="J38" i="1"/>
  <c r="N38" i="1"/>
  <c r="K39" i="1"/>
  <c r="O39" i="1"/>
  <c r="L40" i="1"/>
  <c r="P40" i="1"/>
  <c r="M41" i="1"/>
  <c r="M36" i="1"/>
  <c r="J37" i="1"/>
  <c r="N37" i="1"/>
  <c r="K38" i="1"/>
  <c r="O38" i="1"/>
  <c r="L39" i="1"/>
  <c r="P39" i="1"/>
  <c r="M40" i="1"/>
  <c r="J41" i="1"/>
  <c r="N41" i="1"/>
  <c r="J36" i="1"/>
  <c r="N36" i="1"/>
  <c r="K37" i="1"/>
  <c r="O37" i="1"/>
  <c r="P38" i="1"/>
  <c r="M39" i="1"/>
  <c r="J40" i="1"/>
  <c r="N40" i="1"/>
  <c r="K41" i="1"/>
  <c r="O41" i="1"/>
  <c r="K36" i="1"/>
  <c r="O36" i="1"/>
  <c r="L37" i="1"/>
  <c r="P37" i="1"/>
  <c r="M38" i="1"/>
  <c r="J39" i="1"/>
  <c r="N39" i="1"/>
  <c r="K40" i="1"/>
  <c r="O40" i="1"/>
  <c r="L41" i="1"/>
  <c r="P41" i="1"/>
  <c r="D36" i="1"/>
  <c r="H36" i="1"/>
  <c r="E37" i="1"/>
  <c r="B38" i="1"/>
  <c r="F38" i="1"/>
  <c r="C39" i="1"/>
  <c r="G39" i="1"/>
  <c r="H40" i="1"/>
  <c r="E41" i="1"/>
  <c r="E36" i="1"/>
  <c r="B37" i="1"/>
  <c r="F37" i="1"/>
  <c r="C38" i="1"/>
  <c r="G38" i="1"/>
  <c r="D39" i="1"/>
  <c r="H39" i="1"/>
  <c r="E40" i="1"/>
  <c r="B41" i="1"/>
  <c r="F41" i="1"/>
  <c r="B36" i="1"/>
  <c r="F36" i="1"/>
  <c r="C37" i="1"/>
  <c r="G37" i="1"/>
  <c r="D38" i="1"/>
  <c r="H38" i="1"/>
  <c r="E39" i="1"/>
  <c r="B40" i="1"/>
  <c r="F40" i="1"/>
  <c r="C41" i="1"/>
  <c r="G41" i="1"/>
  <c r="C36" i="1"/>
  <c r="G36" i="1"/>
  <c r="D37" i="1"/>
  <c r="H37" i="1"/>
  <c r="E38" i="1"/>
  <c r="B39" i="1"/>
  <c r="F39" i="1"/>
  <c r="C40" i="1"/>
  <c r="G40" i="1"/>
  <c r="D41" i="1"/>
  <c r="H41" i="1"/>
  <c r="U27" i="1"/>
  <c r="R28" i="1"/>
  <c r="V28" i="1"/>
  <c r="S29" i="1"/>
  <c r="W29" i="1"/>
  <c r="T30" i="1"/>
  <c r="X30" i="1"/>
  <c r="U31" i="1"/>
  <c r="R32" i="1"/>
  <c r="V32" i="1"/>
  <c r="T27" i="1"/>
  <c r="U28" i="1"/>
  <c r="S30" i="1"/>
  <c r="T31" i="1"/>
  <c r="R27" i="1"/>
  <c r="V27" i="1"/>
  <c r="S28" i="1"/>
  <c r="W28" i="1"/>
  <c r="T29" i="1"/>
  <c r="X29" i="1"/>
  <c r="U30" i="1"/>
  <c r="R31" i="1"/>
  <c r="V31" i="1"/>
  <c r="S32" i="1"/>
  <c r="W32" i="1"/>
  <c r="X27" i="1"/>
  <c r="R29" i="1"/>
  <c r="V29" i="1"/>
  <c r="W30" i="1"/>
  <c r="X31" i="1"/>
  <c r="U32" i="1"/>
  <c r="W27" i="1"/>
  <c r="T28" i="1"/>
  <c r="X28" i="1"/>
  <c r="U29" i="1"/>
  <c r="R30" i="1"/>
  <c r="V30" i="1"/>
  <c r="S31" i="1"/>
  <c r="W31" i="1"/>
  <c r="T32" i="1"/>
  <c r="X32" i="1"/>
  <c r="M27" i="1"/>
  <c r="J28" i="1"/>
  <c r="N28" i="1"/>
  <c r="K29" i="1"/>
  <c r="O29" i="1"/>
  <c r="L30" i="1"/>
  <c r="P30" i="1"/>
  <c r="M31" i="1"/>
  <c r="J32" i="1"/>
  <c r="N32" i="1"/>
  <c r="L27" i="1"/>
  <c r="P27" i="1"/>
  <c r="J29" i="1"/>
  <c r="N29" i="1"/>
  <c r="K30" i="1"/>
  <c r="L31" i="1"/>
  <c r="P31" i="1"/>
  <c r="M32" i="1"/>
  <c r="J27" i="1"/>
  <c r="N27" i="1"/>
  <c r="K28" i="1"/>
  <c r="O28" i="1"/>
  <c r="L29" i="1"/>
  <c r="P29" i="1"/>
  <c r="M30" i="1"/>
  <c r="J31" i="1"/>
  <c r="N31" i="1"/>
  <c r="K32" i="1"/>
  <c r="O32" i="1"/>
  <c r="M28" i="1"/>
  <c r="O30" i="1"/>
  <c r="K27" i="1"/>
  <c r="O27" i="1"/>
  <c r="L28" i="1"/>
  <c r="P28" i="1"/>
  <c r="M29" i="1"/>
  <c r="J30" i="1"/>
  <c r="N30" i="1"/>
  <c r="K31" i="1"/>
  <c r="O31" i="1"/>
  <c r="L32" i="1"/>
  <c r="P32" i="1"/>
  <c r="G30" i="1"/>
  <c r="E28" i="1"/>
  <c r="D31" i="1"/>
  <c r="D27" i="1"/>
  <c r="F29" i="1"/>
  <c r="H31" i="1"/>
  <c r="B29" i="1"/>
  <c r="H27" i="1"/>
  <c r="C30" i="1"/>
  <c r="E32" i="1"/>
  <c r="E27" i="1"/>
  <c r="B28" i="1"/>
  <c r="F28" i="1"/>
  <c r="C29" i="1"/>
  <c r="G29" i="1"/>
  <c r="D30" i="1"/>
  <c r="H30" i="1"/>
  <c r="E31" i="1"/>
  <c r="B32" i="1"/>
  <c r="F32" i="1"/>
  <c r="B27" i="1"/>
  <c r="F27" i="1"/>
  <c r="C28" i="1"/>
  <c r="G28" i="1"/>
  <c r="D29" i="1"/>
  <c r="H29" i="1"/>
  <c r="E30" i="1"/>
  <c r="B31" i="1"/>
  <c r="F31" i="1"/>
  <c r="C32" i="1"/>
  <c r="G32" i="1"/>
  <c r="C27" i="1"/>
  <c r="G27" i="1"/>
  <c r="D28" i="1"/>
  <c r="H28" i="1"/>
  <c r="E29" i="1"/>
  <c r="B30" i="1"/>
  <c r="F30" i="1"/>
  <c r="C31" i="1"/>
  <c r="G31" i="1"/>
  <c r="D32" i="1"/>
  <c r="H32" i="1"/>
  <c r="V23" i="1"/>
  <c r="R19" i="1"/>
  <c r="S20" i="1"/>
  <c r="W20" i="1"/>
  <c r="X21" i="1"/>
  <c r="U22" i="1"/>
  <c r="R18" i="1"/>
  <c r="V18" i="1"/>
  <c r="S19" i="1"/>
  <c r="W19" i="1"/>
  <c r="T20" i="1"/>
  <c r="X20" i="1"/>
  <c r="U21" i="1"/>
  <c r="R22" i="1"/>
  <c r="V22" i="1"/>
  <c r="S23" i="1"/>
  <c r="W23" i="1"/>
  <c r="T18" i="1"/>
  <c r="X18" i="1"/>
  <c r="U19" i="1"/>
  <c r="R20" i="1"/>
  <c r="V20" i="1"/>
  <c r="S21" i="1"/>
  <c r="W21" i="1"/>
  <c r="T22" i="1"/>
  <c r="X22" i="1"/>
  <c r="U23" i="1"/>
  <c r="U18" i="1"/>
  <c r="V19" i="1"/>
  <c r="T21" i="1"/>
  <c r="R23" i="1"/>
  <c r="S18" i="1"/>
  <c r="W18" i="1"/>
  <c r="T19" i="1"/>
  <c r="X19" i="1"/>
  <c r="U20" i="1"/>
  <c r="R21" i="1"/>
  <c r="V21" i="1"/>
  <c r="S22" i="1"/>
  <c r="W22" i="1"/>
  <c r="T23" i="1"/>
  <c r="X23" i="1"/>
  <c r="M18" i="1"/>
  <c r="J19" i="1"/>
  <c r="N19" i="1"/>
  <c r="K20" i="1"/>
  <c r="O20" i="1"/>
  <c r="L21" i="1"/>
  <c r="P21" i="1"/>
  <c r="M22" i="1"/>
  <c r="J23" i="1"/>
  <c r="N23" i="1"/>
  <c r="L18" i="1"/>
  <c r="P18" i="1"/>
  <c r="M19" i="1"/>
  <c r="J20" i="1"/>
  <c r="N20" i="1"/>
  <c r="K21" i="1"/>
  <c r="O21" i="1"/>
  <c r="L22" i="1"/>
  <c r="P22" i="1"/>
  <c r="M23" i="1"/>
  <c r="J18" i="1"/>
  <c r="N18" i="1"/>
  <c r="K19" i="1"/>
  <c r="O19" i="1"/>
  <c r="L20" i="1"/>
  <c r="P20" i="1"/>
  <c r="M21" i="1"/>
  <c r="J22" i="1"/>
  <c r="N22" i="1"/>
  <c r="K23" i="1"/>
  <c r="O23" i="1"/>
  <c r="K18" i="1"/>
  <c r="O18" i="1"/>
  <c r="L19" i="1"/>
  <c r="P19" i="1"/>
  <c r="M20" i="1"/>
  <c r="J21" i="1"/>
  <c r="N21" i="1"/>
  <c r="K22" i="1"/>
  <c r="O22" i="1"/>
  <c r="L23" i="1"/>
  <c r="P23" i="1"/>
  <c r="V11" i="1"/>
  <c r="X9" i="1"/>
  <c r="S12" i="1"/>
  <c r="T9" i="1"/>
  <c r="U10" i="1"/>
  <c r="W12" i="1"/>
  <c r="R11" i="1"/>
  <c r="T13" i="1"/>
  <c r="U9" i="1"/>
  <c r="R10" i="1"/>
  <c r="V10" i="1"/>
  <c r="S11" i="1"/>
  <c r="W11" i="1"/>
  <c r="T12" i="1"/>
  <c r="X12" i="1"/>
  <c r="U13" i="1"/>
  <c r="R14" i="1"/>
  <c r="V14" i="1"/>
  <c r="R9" i="1"/>
  <c r="V9" i="1"/>
  <c r="S10" i="1"/>
  <c r="W10" i="1"/>
  <c r="T11" i="1"/>
  <c r="X11" i="1"/>
  <c r="U12" i="1"/>
  <c r="R13" i="1"/>
  <c r="V13" i="1"/>
  <c r="S14" i="1"/>
  <c r="W14" i="1"/>
  <c r="X13" i="1"/>
  <c r="U14" i="1"/>
  <c r="S9" i="1"/>
  <c r="W9" i="1"/>
  <c r="T10" i="1"/>
  <c r="X10" i="1"/>
  <c r="U11" i="1"/>
  <c r="R12" i="1"/>
  <c r="V12" i="1"/>
  <c r="S13" i="1"/>
  <c r="W13" i="1"/>
  <c r="T14" i="1"/>
  <c r="X14" i="1"/>
  <c r="B19" i="1"/>
  <c r="C20" i="1"/>
  <c r="G20" i="1"/>
  <c r="H21" i="1"/>
  <c r="B23" i="1"/>
  <c r="C23" i="1"/>
  <c r="D18" i="1"/>
  <c r="H18" i="1"/>
  <c r="E19" i="1"/>
  <c r="B20" i="1"/>
  <c r="F20" i="1"/>
  <c r="C21" i="1"/>
  <c r="G21" i="1"/>
  <c r="D22" i="1"/>
  <c r="H22" i="1"/>
  <c r="E23" i="1"/>
  <c r="E18" i="1"/>
  <c r="F19" i="1"/>
  <c r="D21" i="1"/>
  <c r="E22" i="1"/>
  <c r="F23" i="1"/>
  <c r="B18" i="1"/>
  <c r="F18" i="1"/>
  <c r="C19" i="1"/>
  <c r="G19" i="1"/>
  <c r="D20" i="1"/>
  <c r="H20" i="1"/>
  <c r="E21" i="1"/>
  <c r="B22" i="1"/>
  <c r="F22" i="1"/>
  <c r="G23" i="1"/>
  <c r="C18" i="1"/>
  <c r="G18" i="1"/>
  <c r="D19" i="1"/>
  <c r="H19" i="1"/>
  <c r="E20" i="1"/>
  <c r="B21" i="1"/>
  <c r="F21" i="1"/>
  <c r="C22" i="1"/>
  <c r="G22" i="1"/>
  <c r="D23" i="1"/>
  <c r="H23" i="1"/>
  <c r="M9" i="1"/>
  <c r="J10" i="1"/>
  <c r="N10" i="1"/>
  <c r="K11" i="1"/>
  <c r="O11" i="1"/>
  <c r="L12" i="1"/>
  <c r="P12" i="1"/>
  <c r="M13" i="1"/>
  <c r="J14" i="1"/>
  <c r="J9" i="1"/>
  <c r="N9" i="1"/>
  <c r="K10" i="1"/>
  <c r="O10" i="1"/>
  <c r="L11" i="1"/>
  <c r="P11" i="1"/>
  <c r="M12" i="1"/>
  <c r="J13" i="1"/>
  <c r="N13" i="1"/>
  <c r="K14" i="1"/>
  <c r="K9" i="1"/>
  <c r="O9" i="1"/>
  <c r="L10" i="1"/>
  <c r="P10" i="1"/>
  <c r="M11" i="1"/>
  <c r="J12" i="1"/>
  <c r="N12" i="1"/>
  <c r="K13" i="1"/>
  <c r="O13" i="1"/>
  <c r="L14" i="1"/>
  <c r="L9" i="1"/>
  <c r="P9" i="1"/>
  <c r="M10" i="1"/>
  <c r="J11" i="1"/>
  <c r="N11" i="1"/>
  <c r="K12" i="1"/>
  <c r="O12" i="1"/>
  <c r="L13" i="1"/>
  <c r="P13" i="1"/>
  <c r="M14" i="1"/>
  <c r="N14" i="1"/>
  <c r="O14" i="1"/>
  <c r="B11" i="1" l="1"/>
  <c r="G9" i="1"/>
  <c r="E11" i="1"/>
  <c r="B14" i="1"/>
  <c r="E9" i="1"/>
  <c r="C10" i="1"/>
  <c r="G11" i="1"/>
  <c r="E12" i="1"/>
  <c r="E13" i="1"/>
  <c r="E14" i="1"/>
  <c r="B9" i="1"/>
  <c r="F10" i="1"/>
  <c r="G12" i="1"/>
  <c r="F9" i="1"/>
  <c r="E10" i="1"/>
  <c r="C11" i="1"/>
  <c r="F12" i="1"/>
  <c r="F13" i="1"/>
  <c r="G14" i="1"/>
  <c r="C9" i="1"/>
  <c r="B10" i="1"/>
  <c r="G10" i="1"/>
  <c r="F11" i="1"/>
  <c r="B12" i="1"/>
  <c r="C13" i="1"/>
  <c r="C14" i="1"/>
  <c r="H9" i="1"/>
  <c r="D10" i="1"/>
  <c r="H10" i="1"/>
  <c r="D11" i="1"/>
  <c r="H11" i="1"/>
  <c r="C12" i="1"/>
  <c r="B13" i="1"/>
  <c r="G13" i="1"/>
  <c r="F14" i="1"/>
  <c r="D12" i="1"/>
  <c r="H12" i="1"/>
  <c r="D13" i="1"/>
  <c r="H13" i="1"/>
  <c r="D14" i="1"/>
  <c r="H14" i="1"/>
</calcChain>
</file>

<file path=xl/sharedStrings.xml><?xml version="1.0" encoding="utf-8"?>
<sst xmlns="http://schemas.openxmlformats.org/spreadsheetml/2006/main" count="109" uniqueCount="32">
  <si>
    <t>January</t>
  </si>
  <si>
    <t>February</t>
  </si>
  <si>
    <t>March</t>
  </si>
  <si>
    <t>April</t>
  </si>
  <si>
    <t>May</t>
  </si>
  <si>
    <t>June</t>
  </si>
  <si>
    <t>July</t>
  </si>
  <si>
    <t>September</t>
  </si>
  <si>
    <t>October</t>
  </si>
  <si>
    <t>August</t>
  </si>
  <si>
    <t>November</t>
  </si>
  <si>
    <t>December</t>
  </si>
  <si>
    <t>Su</t>
  </si>
  <si>
    <t>Mo</t>
  </si>
  <si>
    <t>Tu</t>
  </si>
  <si>
    <t>We</t>
  </si>
  <si>
    <t>Th</t>
  </si>
  <si>
    <t>Fr</t>
  </si>
  <si>
    <t>Sa</t>
  </si>
  <si>
    <t>Range Maintenance Day, typically 1st Saturday of month</t>
  </si>
  <si>
    <t>Federal Holidays</t>
  </si>
  <si>
    <t>Regional Shoots   cbhsaa.org/EventCalendar</t>
  </si>
  <si>
    <t>Club Range Events, typically 2nd Sun. of month.  No events in  June and November.</t>
  </si>
  <si>
    <t xml:space="preserve">       Briones Archers Calendar</t>
  </si>
  <si>
    <t>Briones Club Membership Meetings</t>
  </si>
  <si>
    <t>October 4, 2026 NFAA Field Round</t>
  </si>
  <si>
    <t>June 6-7, 2026 Bear Creek Open</t>
  </si>
  <si>
    <t>June 6-7, 2026 Bear Creek Open Set Up. Roving range targets 1-42 closed. Practice range area remains open</t>
  </si>
  <si>
    <t>Apil 13 - August 10, 2026 Monday Night Series</t>
  </si>
  <si>
    <t xml:space="preserve"> </t>
  </si>
  <si>
    <t>All club activities and events at the range are subject to weather conditions and Park Closure status.  If there has been significant rain within 2 days prior to an event, road is subject to clousre. Red Flag Warnings may prompt the Park District to close the entire Park.</t>
  </si>
  <si>
    <t>May 24th-Armed Forces 1/2 &amp; 5K                                               August 8th- 5k/10k/Half Marathon. Park and road to range will be congested until early afternoon.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</si>
</sst>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"/>
  </numFmts>
  <fonts count="19" x14ac:knownFonts="1">
    <font>
      <sz val="11"/>
      <name val="Avenir Next LT Pro Light"/>
      <family val="2"/>
      <scheme val="minor"/>
    </font>
    <font>
      <sz val="8"/>
      <name val="Arial"/>
      <family val="2"/>
    </font>
    <font>
      <sz val="11"/>
      <name val="Avenir Next LT Pro Light"/>
      <family val="2"/>
      <scheme val="minor"/>
    </font>
    <font>
      <b/>
      <sz val="20"/>
      <name val="Avenir Next LT Pro"/>
      <family val="2"/>
      <scheme val="major"/>
    </font>
    <font>
      <b/>
      <sz val="11"/>
      <name val="Avenir Next LT Pro Light"/>
      <family val="2"/>
      <scheme val="minor"/>
    </font>
    <font>
      <b/>
      <sz val="13"/>
      <name val="Avenir Next LT Pro Light"/>
      <family val="2"/>
      <scheme val="minor"/>
    </font>
    <font>
      <b/>
      <sz val="36"/>
      <color theme="1" tint="0.249977111117893"/>
      <name val="Avenir Next LT Pro Light"/>
      <family val="2"/>
      <scheme val="minor"/>
    </font>
    <font>
      <sz val="14"/>
      <name val="Avenir Next LT Pro Light"/>
      <family val="2"/>
      <scheme val="minor"/>
    </font>
    <font>
      <sz val="10"/>
      <name val="Avenir Next LT Pro Light"/>
      <family val="2"/>
      <scheme val="minor"/>
    </font>
    <font>
      <sz val="11"/>
      <name val="Avenir Next LT Pro"/>
      <family val="2"/>
      <scheme val="major"/>
    </font>
    <font>
      <b/>
      <sz val="11"/>
      <name val="Avenir Next LT Pro"/>
      <family val="2"/>
      <scheme val="major"/>
    </font>
    <font>
      <b/>
      <sz val="14"/>
      <name val="Avenir Next LT Pro Light"/>
      <family val="2"/>
      <scheme val="minor"/>
    </font>
    <font>
      <b/>
      <sz val="20"/>
      <name val="Avenir Next LT Pro Light"/>
      <family val="2"/>
      <scheme val="minor"/>
    </font>
    <font>
      <sz val="20"/>
      <name val="Avenir Next LT Pro Light"/>
      <family val="2"/>
      <scheme val="minor"/>
    </font>
    <font>
      <b/>
      <sz val="48"/>
      <color theme="8" tint="-0.749992370372631"/>
      <name val="Goudy Old Style"/>
      <family val="1"/>
    </font>
    <font>
      <b/>
      <sz val="10"/>
      <name val="Avenir Next LT Pro Light"/>
      <family val="2"/>
      <scheme val="minor"/>
    </font>
    <font>
      <b/>
      <sz val="14"/>
      <color theme="1"/>
      <name val="Avenir Next LT Pro"/>
      <family val="2"/>
      <scheme val="major"/>
    </font>
    <font>
      <b/>
      <sz val="14"/>
      <name val="Avenir Next LT Pro"/>
      <family val="2"/>
      <scheme val="major"/>
    </font>
    <font>
      <b/>
      <sz val="14"/>
      <color rgb="FFFF0000"/>
      <name val="Avenir Next LT Pro Light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9" tint="0.5999633777886288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CFFF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3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8"/>
      </bottom>
      <diagonal/>
    </border>
    <border>
      <left/>
      <right/>
      <top style="thin">
        <color theme="8"/>
      </top>
      <bottom style="thin">
        <color theme="8"/>
      </bottom>
      <diagonal/>
    </border>
    <border>
      <left/>
      <right/>
      <top style="thin">
        <color theme="8"/>
      </top>
      <bottom/>
      <diagonal/>
    </border>
    <border>
      <left/>
      <right style="thin">
        <color theme="0"/>
      </right>
      <top style="thin">
        <color theme="0"/>
      </top>
      <bottom style="thin">
        <color theme="8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8"/>
      </bottom>
      <diagonal/>
    </border>
    <border>
      <left style="thin">
        <color theme="0"/>
      </left>
      <right/>
      <top style="thin">
        <color theme="0"/>
      </top>
      <bottom style="thin">
        <color theme="8"/>
      </bottom>
      <diagonal/>
    </border>
    <border>
      <left/>
      <right style="thin">
        <color theme="0"/>
      </right>
      <top style="thin">
        <color theme="8"/>
      </top>
      <bottom style="thin">
        <color theme="8"/>
      </bottom>
      <diagonal/>
    </border>
    <border>
      <left style="thin">
        <color theme="0"/>
      </left>
      <right style="thin">
        <color theme="0"/>
      </right>
      <top style="thin">
        <color theme="8"/>
      </top>
      <bottom style="thin">
        <color theme="8"/>
      </bottom>
      <diagonal/>
    </border>
    <border>
      <left style="thin">
        <color theme="0"/>
      </left>
      <right/>
      <top style="thin">
        <color theme="8"/>
      </top>
      <bottom style="thin">
        <color theme="8"/>
      </bottom>
      <diagonal/>
    </border>
    <border>
      <left/>
      <right style="thin">
        <color theme="0"/>
      </right>
      <top style="thin">
        <color theme="8"/>
      </top>
      <bottom/>
      <diagonal/>
    </border>
    <border>
      <left style="thin">
        <color theme="0"/>
      </left>
      <right style="thin">
        <color theme="0"/>
      </right>
      <top style="thin">
        <color theme="8"/>
      </top>
      <bottom/>
      <diagonal/>
    </border>
    <border>
      <left style="thin">
        <color theme="0"/>
      </left>
      <right/>
      <top style="thin">
        <color theme="8"/>
      </top>
      <bottom/>
      <diagonal/>
    </border>
  </borders>
  <cellStyleXfs count="9">
    <xf numFmtId="0" fontId="0" fillId="0" borderId="0"/>
    <xf numFmtId="1" fontId="3" fillId="0" borderId="0">
      <alignment horizontal="center" vertical="center"/>
    </xf>
    <xf numFmtId="0" fontId="4" fillId="2" borderId="1">
      <alignment horizontal="center" vertical="center"/>
    </xf>
    <xf numFmtId="0" fontId="5" fillId="0" borderId="0" applyNumberFormat="0" applyFill="0" applyAlignment="0" applyProtection="0"/>
    <xf numFmtId="0" fontId="4" fillId="0" borderId="0" applyNumberFormat="0" applyFill="0" applyAlignment="0" applyProtection="0"/>
    <xf numFmtId="0" fontId="4" fillId="0" borderId="0" applyNumberFormat="0" applyFill="0" applyBorder="0" applyAlignment="0" applyProtection="0"/>
    <xf numFmtId="0" fontId="2" fillId="0" borderId="1"/>
    <xf numFmtId="164" fontId="2" fillId="0" borderId="0" applyFont="0" applyFill="0" applyBorder="0">
      <alignment horizontal="right"/>
    </xf>
    <xf numFmtId="0" fontId="2" fillId="0" borderId="0" applyFont="0" applyFill="0" applyBorder="0">
      <alignment horizontal="center"/>
    </xf>
  </cellStyleXfs>
  <cellXfs count="76">
    <xf numFmtId="0" fontId="0" fillId="0" borderId="0" xfId="0"/>
    <xf numFmtId="0" fontId="0" fillId="3" borderId="0" xfId="0" applyFill="1" applyAlignment="1">
      <alignment horizontal="center"/>
    </xf>
    <xf numFmtId="0" fontId="0" fillId="3" borderId="0" xfId="0" applyFill="1"/>
    <xf numFmtId="1" fontId="6" fillId="3" borderId="0" xfId="1" applyFont="1" applyFill="1">
      <alignment horizontal="center" vertical="center"/>
    </xf>
    <xf numFmtId="164" fontId="8" fillId="4" borderId="17" xfId="7" applyFont="1" applyFill="1" applyBorder="1" applyAlignment="1">
      <alignment horizontal="center" vertical="center"/>
    </xf>
    <xf numFmtId="164" fontId="8" fillId="4" borderId="18" xfId="7" applyFont="1" applyFill="1" applyBorder="1" applyAlignment="1">
      <alignment horizontal="center" vertical="center"/>
    </xf>
    <xf numFmtId="164" fontId="8" fillId="4" borderId="19" xfId="7" applyFont="1" applyFill="1" applyBorder="1" applyAlignment="1">
      <alignment horizontal="center" vertical="center"/>
    </xf>
    <xf numFmtId="164" fontId="8" fillId="4" borderId="10" xfId="7" applyFont="1" applyFill="1" applyBorder="1" applyAlignment="1">
      <alignment horizontal="center" vertical="center"/>
    </xf>
    <xf numFmtId="0" fontId="9" fillId="0" borderId="0" xfId="0" applyFont="1"/>
    <xf numFmtId="0" fontId="10" fillId="4" borderId="5" xfId="8" applyFont="1" applyFill="1" applyBorder="1" applyAlignment="1">
      <alignment horizontal="center" vertical="center"/>
    </xf>
    <xf numFmtId="0" fontId="10" fillId="4" borderId="6" xfId="8" applyFont="1" applyFill="1" applyBorder="1" applyAlignment="1">
      <alignment horizontal="center" vertical="center"/>
    </xf>
    <xf numFmtId="0" fontId="10" fillId="4" borderId="7" xfId="8" applyFont="1" applyFill="1" applyBorder="1" applyAlignment="1">
      <alignment horizontal="center" vertical="center"/>
    </xf>
    <xf numFmtId="0" fontId="10" fillId="4" borderId="0" xfId="8" applyFont="1" applyFill="1" applyBorder="1" applyAlignment="1">
      <alignment horizontal="center" vertical="center"/>
    </xf>
    <xf numFmtId="0" fontId="7" fillId="3" borderId="0" xfId="0" applyFont="1" applyFill="1"/>
    <xf numFmtId="0" fontId="7" fillId="0" borderId="0" xfId="0" applyFont="1"/>
    <xf numFmtId="0" fontId="11" fillId="0" borderId="0" xfId="0" applyFont="1"/>
    <xf numFmtId="0" fontId="12" fillId="0" borderId="0" xfId="0" applyFont="1"/>
    <xf numFmtId="164" fontId="15" fillId="4" borderId="11" xfId="7" applyFont="1" applyFill="1" applyBorder="1" applyAlignment="1">
      <alignment horizontal="center" vertical="center"/>
    </xf>
    <xf numFmtId="164" fontId="15" fillId="4" borderId="12" xfId="7" applyFont="1" applyFill="1" applyBorder="1" applyAlignment="1">
      <alignment horizontal="center" vertical="center"/>
    </xf>
    <xf numFmtId="164" fontId="15" fillId="11" borderId="12" xfId="7" applyFont="1" applyFill="1" applyBorder="1" applyAlignment="1">
      <alignment horizontal="center" vertical="center"/>
    </xf>
    <xf numFmtId="0" fontId="11" fillId="3" borderId="0" xfId="0" applyFont="1" applyFill="1"/>
    <xf numFmtId="164" fontId="15" fillId="4" borderId="8" xfId="7" applyFont="1" applyFill="1" applyBorder="1" applyAlignment="1">
      <alignment horizontal="center" vertical="center"/>
    </xf>
    <xf numFmtId="164" fontId="15" fillId="8" borderId="8" xfId="7" applyFont="1" applyFill="1" applyBorder="1" applyAlignment="1">
      <alignment horizontal="center" vertical="center"/>
    </xf>
    <xf numFmtId="0" fontId="4" fillId="0" borderId="0" xfId="0" applyFont="1"/>
    <xf numFmtId="164" fontId="15" fillId="4" borderId="14" xfId="7" applyFont="1" applyFill="1" applyBorder="1" applyAlignment="1">
      <alignment horizontal="center" vertical="center"/>
    </xf>
    <xf numFmtId="164" fontId="15" fillId="4" borderId="15" xfId="7" applyFont="1" applyFill="1" applyBorder="1" applyAlignment="1">
      <alignment horizontal="center" vertical="center"/>
    </xf>
    <xf numFmtId="164" fontId="15" fillId="4" borderId="16" xfId="7" applyFont="1" applyFill="1" applyBorder="1" applyAlignment="1">
      <alignment horizontal="center" vertical="center"/>
    </xf>
    <xf numFmtId="164" fontId="15" fillId="4" borderId="9" xfId="7" applyFont="1" applyFill="1" applyBorder="1" applyAlignment="1">
      <alignment horizontal="center" vertical="center"/>
    </xf>
    <xf numFmtId="164" fontId="15" fillId="9" borderId="9" xfId="7" applyFont="1" applyFill="1" applyBorder="1" applyAlignment="1">
      <alignment horizontal="center" vertical="center"/>
    </xf>
    <xf numFmtId="164" fontId="15" fillId="11" borderId="15" xfId="7" applyFont="1" applyFill="1" applyBorder="1" applyAlignment="1">
      <alignment horizontal="center" vertical="center"/>
    </xf>
    <xf numFmtId="164" fontId="15" fillId="11" borderId="9" xfId="7" applyFont="1" applyFill="1" applyBorder="1" applyAlignment="1">
      <alignment horizontal="center" vertical="center"/>
    </xf>
    <xf numFmtId="164" fontId="15" fillId="5" borderId="15" xfId="7" applyFont="1" applyFill="1" applyBorder="1" applyAlignment="1">
      <alignment horizontal="center" vertical="center"/>
    </xf>
    <xf numFmtId="0" fontId="10" fillId="0" borderId="0" xfId="0" applyFont="1"/>
    <xf numFmtId="164" fontId="15" fillId="7" borderId="8" xfId="7" applyFont="1" applyFill="1" applyBorder="1" applyAlignment="1">
      <alignment horizontal="center" vertical="center"/>
    </xf>
    <xf numFmtId="164" fontId="15" fillId="10" borderId="8" xfId="7" applyFont="1" applyFill="1" applyBorder="1" applyAlignment="1">
      <alignment horizontal="center" vertical="center"/>
    </xf>
    <xf numFmtId="164" fontId="15" fillId="6" borderId="8" xfId="7" applyFont="1" applyFill="1" applyBorder="1" applyAlignment="1">
      <alignment horizontal="center" vertical="center"/>
    </xf>
    <xf numFmtId="164" fontId="15" fillId="7" borderId="9" xfId="7" applyFont="1" applyFill="1" applyBorder="1" applyAlignment="1">
      <alignment horizontal="center" vertical="center"/>
    </xf>
    <xf numFmtId="164" fontId="15" fillId="6" borderId="9" xfId="7" applyFont="1" applyFill="1" applyBorder="1" applyAlignment="1">
      <alignment horizontal="center" vertical="center"/>
    </xf>
    <xf numFmtId="164" fontId="15" fillId="12" borderId="9" xfId="7" applyFont="1" applyFill="1" applyBorder="1" applyAlignment="1">
      <alignment horizontal="center" vertical="center"/>
    </xf>
    <xf numFmtId="164" fontId="15" fillId="8" borderId="9" xfId="7" applyFont="1" applyFill="1" applyBorder="1" applyAlignment="1">
      <alignment horizontal="center" vertical="center"/>
    </xf>
    <xf numFmtId="164" fontId="15" fillId="11" borderId="8" xfId="7" applyFont="1" applyFill="1" applyBorder="1" applyAlignment="1">
      <alignment horizontal="center" vertical="center"/>
    </xf>
    <xf numFmtId="164" fontId="15" fillId="4" borderId="10" xfId="7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/>
    </xf>
    <xf numFmtId="0" fontId="4" fillId="3" borderId="0" xfId="0" applyFont="1" applyFill="1"/>
    <xf numFmtId="164" fontId="15" fillId="0" borderId="13" xfId="7" applyFont="1" applyFill="1" applyBorder="1" applyAlignment="1">
      <alignment horizontal="center" vertical="center"/>
    </xf>
    <xf numFmtId="164" fontId="15" fillId="0" borderId="9" xfId="7" applyFont="1" applyFill="1" applyBorder="1" applyAlignment="1">
      <alignment horizontal="center" vertical="center"/>
    </xf>
    <xf numFmtId="164" fontId="15" fillId="8" borderId="16" xfId="7" applyFont="1" applyFill="1" applyBorder="1" applyAlignment="1">
      <alignment horizontal="center" vertical="center"/>
    </xf>
    <xf numFmtId="164" fontId="15" fillId="5" borderId="8" xfId="7" applyFont="1" applyFill="1" applyBorder="1" applyAlignment="1">
      <alignment horizontal="center" vertical="center"/>
    </xf>
    <xf numFmtId="164" fontId="15" fillId="5" borderId="9" xfId="7" applyFont="1" applyFill="1" applyBorder="1" applyAlignment="1">
      <alignment horizontal="center" vertical="center"/>
    </xf>
    <xf numFmtId="164" fontId="15" fillId="13" borderId="9" xfId="7" applyFont="1" applyFill="1" applyBorder="1" applyAlignment="1">
      <alignment horizontal="center" vertical="center"/>
    </xf>
    <xf numFmtId="0" fontId="18" fillId="3" borderId="0" xfId="0" applyFont="1" applyFill="1" applyAlignment="1">
      <alignment horizontal="center" wrapText="1"/>
    </xf>
    <xf numFmtId="0" fontId="0" fillId="0" borderId="0" xfId="0" applyAlignment="1">
      <alignment wrapText="1"/>
    </xf>
    <xf numFmtId="0" fontId="0" fillId="3" borderId="0" xfId="0" applyFill="1"/>
    <xf numFmtId="0" fontId="12" fillId="6" borderId="0" xfId="0" applyFont="1" applyFill="1"/>
    <xf numFmtId="0" fontId="0" fillId="0" borderId="0" xfId="0"/>
    <xf numFmtId="0" fontId="12" fillId="7" borderId="0" xfId="0" applyFont="1" applyFill="1"/>
    <xf numFmtId="0" fontId="12" fillId="8" borderId="0" xfId="0" applyFont="1" applyFill="1" applyAlignment="1">
      <alignment wrapText="1"/>
    </xf>
    <xf numFmtId="0" fontId="4" fillId="3" borderId="0" xfId="0" applyFont="1" applyFill="1"/>
    <xf numFmtId="0" fontId="17" fillId="4" borderId="0" xfId="2" applyFont="1" applyFill="1" applyBorder="1">
      <alignment horizontal="center" vertical="center"/>
    </xf>
    <xf numFmtId="0" fontId="12" fillId="12" borderId="0" xfId="0" applyFont="1" applyFill="1"/>
    <xf numFmtId="0" fontId="12" fillId="10" borderId="0" xfId="0" applyFont="1" applyFill="1" applyAlignment="1">
      <alignment wrapText="1"/>
    </xf>
    <xf numFmtId="0" fontId="12" fillId="0" borderId="0" xfId="0" applyFont="1" applyAlignment="1">
      <alignment wrapText="1"/>
    </xf>
    <xf numFmtId="0" fontId="12" fillId="11" borderId="0" xfId="0" applyFont="1" applyFill="1" applyAlignment="1">
      <alignment wrapText="1"/>
    </xf>
    <xf numFmtId="0" fontId="12" fillId="9" borderId="0" xfId="0" applyFont="1" applyFill="1" applyAlignment="1">
      <alignment wrapText="1"/>
    </xf>
    <xf numFmtId="0" fontId="13" fillId="0" borderId="0" xfId="0" applyFont="1" applyAlignment="1">
      <alignment wrapText="1"/>
    </xf>
    <xf numFmtId="0" fontId="13" fillId="13" borderId="0" xfId="0" applyFont="1" applyFill="1" applyAlignment="1">
      <alignment wrapText="1"/>
    </xf>
    <xf numFmtId="0" fontId="0" fillId="13" borderId="0" xfId="0" applyFill="1" applyAlignment="1">
      <alignment wrapText="1"/>
    </xf>
    <xf numFmtId="0" fontId="0" fillId="3" borderId="0" xfId="0" applyFill="1" applyAlignment="1">
      <alignment horizontal="center"/>
    </xf>
    <xf numFmtId="0" fontId="16" fillId="4" borderId="2" xfId="2" applyFont="1" applyFill="1" applyBorder="1">
      <alignment horizontal="center" vertical="center"/>
    </xf>
    <xf numFmtId="0" fontId="16" fillId="4" borderId="3" xfId="2" applyFont="1" applyFill="1" applyBorder="1">
      <alignment horizontal="center" vertical="center"/>
    </xf>
    <xf numFmtId="0" fontId="16" fillId="4" borderId="4" xfId="2" applyFont="1" applyFill="1" applyBorder="1">
      <alignment horizontal="center" vertical="center"/>
    </xf>
    <xf numFmtId="1" fontId="14" fillId="4" borderId="0" xfId="1" applyFont="1" applyFill="1">
      <alignment horizontal="center" vertical="center"/>
    </xf>
    <xf numFmtId="15" fontId="12" fillId="0" borderId="0" xfId="0" applyNumberFormat="1" applyFont="1"/>
    <xf numFmtId="0" fontId="12" fillId="5" borderId="0" xfId="0" applyFont="1" applyFill="1"/>
    <xf numFmtId="0" fontId="13" fillId="0" borderId="0" xfId="0" applyFont="1"/>
    <xf numFmtId="164" fontId="15" fillId="9" borderId="11" xfId="7" applyFont="1" applyFill="1" applyBorder="1" applyAlignment="1">
      <alignment horizontal="center" vertical="center"/>
    </xf>
  </cellXfs>
  <cellStyles count="9">
    <cellStyle name="Day" xfId="7" xr:uid="{00000000-0005-0000-0000-000000000000}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Normal" xfId="0" builtinId="0" customBuiltin="1"/>
    <cellStyle name="Output" xfId="6" builtinId="21" customBuiltin="1"/>
    <cellStyle name="Title" xfId="1" builtinId="15" customBuiltin="1"/>
    <cellStyle name="WeekDay" xfId="8" xr:uid="{00000000-0005-0000-0000-000008000000}"/>
  </cellStyles>
  <dxfs count="0"/>
  <tableStyles count="0" defaultTableStyle="TableStyleMedium9" defaultPivotStyle="PivotStyleLight16"/>
  <colors>
    <mruColors>
      <color rgb="FFFE16CC"/>
      <color rgb="FFFC181D"/>
      <color rgb="FFFDF8F7"/>
      <color rgb="FFFCFFF4"/>
      <color rgb="FFFBFFEB"/>
      <color rgb="FFF4F7E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180473</xdr:colOff>
      <xdr:row>1</xdr:row>
      <xdr:rowOff>110289</xdr:rowOff>
    </xdr:from>
    <xdr:to>
      <xdr:col>7</xdr:col>
      <xdr:colOff>130342</xdr:colOff>
      <xdr:row>3</xdr:row>
      <xdr:rowOff>29252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DA59E124-9F10-460A-889E-9C976DBA7F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473" y="340894"/>
          <a:ext cx="3739816" cy="19442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Colorful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DB3930"/>
      </a:accent1>
      <a:accent2>
        <a:srgbClr val="F39E02"/>
      </a:accent2>
      <a:accent3>
        <a:srgbClr val="057332"/>
      </a:accent3>
      <a:accent4>
        <a:srgbClr val="3F74B6"/>
      </a:accent4>
      <a:accent5>
        <a:srgbClr val="E5E6D2"/>
      </a:accent5>
      <a:accent6>
        <a:srgbClr val="DF6BB3"/>
      </a:accent6>
      <a:hlink>
        <a:srgbClr val="0563C1"/>
      </a:hlink>
      <a:folHlink>
        <a:srgbClr val="954F72"/>
      </a:folHlink>
    </a:clrScheme>
    <a:fontScheme name="Custom 13">
      <a:majorFont>
        <a:latin typeface="Avenir Next LT Pro"/>
        <a:ea typeface=""/>
        <a:cs typeface=""/>
      </a:majorFont>
      <a:minorFont>
        <a:latin typeface="Avenir Next LT Pro Light"/>
        <a:ea typeface=""/>
        <a:cs typeface="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/>
    <pageSetUpPr fitToPage="1"/>
  </sheetPr>
  <dimension ref="A1:AE51"/>
  <sheetViews>
    <sheetView showGridLines="0" tabSelected="1" topLeftCell="A6" zoomScale="60" zoomScaleNormal="60" workbookViewId="0">
      <selection activeCell="AC17" sqref="AC17"/>
    </sheetView>
  </sheetViews>
  <sheetFormatPr defaultColWidth="8.69921875" defaultRowHeight="18" customHeight="1" x14ac:dyDescent="0.3"/>
  <cols>
    <col min="1" max="1" width="2.3984375" customWidth="1"/>
    <col min="2" max="8" width="7.8984375" customWidth="1"/>
    <col min="9" max="9" width="2.3984375" customWidth="1"/>
    <col min="10" max="16" width="7.8984375" customWidth="1"/>
    <col min="17" max="17" width="2.3984375" customWidth="1"/>
    <col min="18" max="24" width="7.8984375" customWidth="1"/>
    <col min="25" max="25" width="2.3984375" customWidth="1"/>
  </cols>
  <sheetData>
    <row r="1" spans="1:25" ht="18" customHeight="1" x14ac:dyDescent="0.3">
      <c r="A1" s="67"/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</row>
    <row r="2" spans="1:25" s="8" customFormat="1" ht="79.95" customHeight="1" x14ac:dyDescent="0.3">
      <c r="A2" s="1"/>
      <c r="B2" s="71" t="s">
        <v>23</v>
      </c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3"/>
    </row>
    <row r="3" spans="1:25" s="8" customFormat="1" ht="79.95" customHeight="1" x14ac:dyDescent="0.3">
      <c r="A3" s="52"/>
      <c r="B3" s="71">
        <v>2026</v>
      </c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  <c r="X3" s="71"/>
      <c r="Y3" s="3"/>
    </row>
    <row r="4" spans="1:25" s="23" customFormat="1" ht="18" customHeight="1" x14ac:dyDescent="0.35">
      <c r="A4" s="52"/>
      <c r="B4" s="50" t="s">
        <v>30</v>
      </c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20"/>
    </row>
    <row r="5" spans="1:25" s="23" customFormat="1" ht="18" customHeight="1" x14ac:dyDescent="0.35">
      <c r="A5" s="52"/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  <c r="Y5" s="20"/>
    </row>
    <row r="6" spans="1:25" ht="18" customHeight="1" x14ac:dyDescent="0.3">
      <c r="A6" s="52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</row>
    <row r="7" spans="1:25" s="32" customFormat="1" ht="34.950000000000003" customHeight="1" x14ac:dyDescent="0.35">
      <c r="A7" s="52"/>
      <c r="B7" s="68" t="s">
        <v>0</v>
      </c>
      <c r="C7" s="69"/>
      <c r="D7" s="69"/>
      <c r="E7" s="69"/>
      <c r="F7" s="69"/>
      <c r="G7" s="69"/>
      <c r="H7" s="70"/>
      <c r="I7" s="20"/>
      <c r="J7" s="58" t="s">
        <v>1</v>
      </c>
      <c r="K7" s="58"/>
      <c r="L7" s="58"/>
      <c r="M7" s="58"/>
      <c r="N7" s="58"/>
      <c r="O7" s="58"/>
      <c r="P7" s="58"/>
      <c r="Q7" s="20"/>
      <c r="R7" s="58" t="s">
        <v>2</v>
      </c>
      <c r="S7" s="58"/>
      <c r="T7" s="58"/>
      <c r="U7" s="58"/>
      <c r="V7" s="58"/>
      <c r="W7" s="58"/>
      <c r="X7" s="58"/>
      <c r="Y7" s="20"/>
    </row>
    <row r="8" spans="1:25" s="8" customFormat="1" ht="25.05" customHeight="1" x14ac:dyDescent="0.35">
      <c r="A8" s="52"/>
      <c r="B8" s="9" t="s">
        <v>12</v>
      </c>
      <c r="C8" s="10" t="s">
        <v>13</v>
      </c>
      <c r="D8" s="10" t="s">
        <v>14</v>
      </c>
      <c r="E8" s="10" t="s">
        <v>15</v>
      </c>
      <c r="F8" s="10" t="s">
        <v>16</v>
      </c>
      <c r="G8" s="10" t="s">
        <v>17</v>
      </c>
      <c r="H8" s="11" t="s">
        <v>18</v>
      </c>
      <c r="I8" s="13"/>
      <c r="J8" s="12" t="s">
        <v>12</v>
      </c>
      <c r="K8" s="12" t="s">
        <v>13</v>
      </c>
      <c r="L8" s="12" t="s">
        <v>14</v>
      </c>
      <c r="M8" s="12" t="s">
        <v>15</v>
      </c>
      <c r="N8" s="12" t="s">
        <v>16</v>
      </c>
      <c r="O8" s="12" t="s">
        <v>17</v>
      </c>
      <c r="P8" s="12" t="s">
        <v>18</v>
      </c>
      <c r="Q8" s="13"/>
      <c r="R8" s="12" t="s">
        <v>12</v>
      </c>
      <c r="S8" s="12" t="s">
        <v>13</v>
      </c>
      <c r="T8" s="12" t="s">
        <v>14</v>
      </c>
      <c r="U8" s="12" t="s">
        <v>15</v>
      </c>
      <c r="V8" s="12" t="s">
        <v>16</v>
      </c>
      <c r="W8" s="12" t="s">
        <v>17</v>
      </c>
      <c r="X8" s="12" t="s">
        <v>18</v>
      </c>
      <c r="Y8" s="13"/>
    </row>
    <row r="9" spans="1:25" s="23" customFormat="1" ht="25.05" customHeight="1" x14ac:dyDescent="0.35">
      <c r="A9" s="52"/>
      <c r="B9" s="17" t="str">
        <f>IF(AND(YEAR(JanSun1)=Year,MONTH(JanSun1)=1),JanSun1, "")</f>
        <v/>
      </c>
      <c r="C9" s="18" t="str">
        <f>IF(AND(YEAR(JanSun1+1)=Year,MONTH(JanSun1+1)=1),JanSun1+1, "")</f>
        <v/>
      </c>
      <c r="D9" s="18" t="str">
        <f>IF(AND(YEAR(JanSun1+2)=Year,MONTH(JanSun1+2)=1),JanSun1+2, "")</f>
        <v/>
      </c>
      <c r="E9" s="18" t="str">
        <f>IF(AND(YEAR(JanSun1+3)=Year,MONTH(JanSun1+3)=1),JanSun1+3, "")</f>
        <v/>
      </c>
      <c r="F9" s="19">
        <f>IF(AND(YEAR(JanSun1+4)=Year,MONTH(JanSun1+4)=1),JanSun1+4, "")</f>
        <v>46023</v>
      </c>
      <c r="G9" s="18">
        <f>IF(AND(YEAR(JanSun1+5)=Year,MONTH(JanSun1+5)=1),JanSun1+5, "")</f>
        <v>46024</v>
      </c>
      <c r="H9" s="44">
        <f>IF(AND(YEAR(JanSun1+6)=Year,MONTH(JanSun1+6)=1),JanSun1+6, "")</f>
        <v>46025</v>
      </c>
      <c r="I9" s="20"/>
      <c r="J9" s="21">
        <f>IF(AND(YEAR(FebSun1)=Year,MONTH(FebSun1)=2),FebSun1, "")</f>
        <v>46054</v>
      </c>
      <c r="K9" s="21">
        <f>IF(AND(YEAR(FebSun1+1)=Year,MONTH(FebSun1+1)=2),FebSun1+1, "")</f>
        <v>46055</v>
      </c>
      <c r="L9" s="47">
        <f>IF(AND(YEAR(FebSun1+2)=Year,MONTH(FebSun1+2)=2),FebSun1+2, "")</f>
        <v>46056</v>
      </c>
      <c r="M9" s="21">
        <f>IF(AND(YEAR(FebSun1+3)=Year,MONTH(FebSun1+3)=2),FebSun1+3, "")</f>
        <v>46057</v>
      </c>
      <c r="N9" s="21">
        <f>IF(AND(YEAR(FebSun1+4)=Year,MONTH(FebSun1+4)=2),FebSun1+4, "")</f>
        <v>46058</v>
      </c>
      <c r="O9" s="21">
        <f>IF(AND(YEAR(FebSun1+5)=Year,MONTH(FebSun1+5)=2),FebSun1+5, "")</f>
        <v>46059</v>
      </c>
      <c r="P9" s="22">
        <f>IF(AND(YEAR(FebSun1+6)=Year,MONTH(FebSun1+6)=2),FebSun1+6, "")</f>
        <v>46060</v>
      </c>
      <c r="Q9" s="20"/>
      <c r="R9" s="21">
        <f>IF(AND(YEAR(MarSun1)=Year,MONTH(MarSun1)=3),MarSun1, "")</f>
        <v>46082</v>
      </c>
      <c r="S9" s="21">
        <f>IF(AND(YEAR(MarSun1+1)=Year,MONTH(MarSun1+1)=3),MarSun1+1, "")</f>
        <v>46083</v>
      </c>
      <c r="T9" s="47">
        <f>IF(AND(YEAR(MarSun1+2)=Year,MONTH(MarSun1+2)=3),MarSun1+2, "")</f>
        <v>46084</v>
      </c>
      <c r="U9" s="21">
        <f>IF(AND(YEAR(MarSun1+3)=Year,MONTH(MarSun1+3)=3),MarSun1+3, "")</f>
        <v>46085</v>
      </c>
      <c r="V9" s="21">
        <f>IF(AND(YEAR(MarSun1+4)=Year,MONTH(MarSun1+4)=3),MarSun1+4, "")</f>
        <v>46086</v>
      </c>
      <c r="W9" s="21">
        <f>IF(AND(YEAR(MarSun1+5)=Year,MONTH(MarSun1+5)=3),MarSun1+5, "")</f>
        <v>46087</v>
      </c>
      <c r="X9" s="22">
        <f>IF(AND(YEAR(MarSun1+6)=Year,MONTH(MarSun1+6)=3),MarSun1+6, "")</f>
        <v>46088</v>
      </c>
      <c r="Y9" s="20"/>
    </row>
    <row r="10" spans="1:25" s="23" customFormat="1" ht="25.05" customHeight="1" x14ac:dyDescent="0.35">
      <c r="A10" s="52"/>
      <c r="B10" s="24">
        <f>IF(AND(YEAR(JanSun1+7)=Year,MONTH(JanSun1+7)=1),JanSun1+7, "")</f>
        <v>46026</v>
      </c>
      <c r="C10" s="25">
        <f>IF(AND(YEAR(JanSun1+8)=Year,MONTH(JanSun1+8)=1),JanSun1+8, "")</f>
        <v>46027</v>
      </c>
      <c r="D10" s="31">
        <f>IF(AND(YEAR(JanSun1+9)=Year,MONTH(JanSun1+9)=1),JanSun1+9, "")</f>
        <v>46028</v>
      </c>
      <c r="E10" s="25">
        <f>IF(AND(YEAR(JanSun1+10)=Year,MONTH(JanSun1+10)=1),JanSun1+10, "")</f>
        <v>46029</v>
      </c>
      <c r="F10" s="25">
        <f>IF(AND(YEAR(JanSun1+11)=Year,MONTH(JanSun1+11)=1),JanSun1+11, "")</f>
        <v>46030</v>
      </c>
      <c r="G10" s="25">
        <f>IF(AND(YEAR(JanSun1+12)=Year,MONTH(JanSun1+12)=1),JanSun1+12, "")</f>
        <v>46031</v>
      </c>
      <c r="H10" s="46">
        <f>IF(AND(YEAR(JanSun1+13)=Year,MONTH(JanSun1+13)=1),JanSun1+13, "")</f>
        <v>46032</v>
      </c>
      <c r="I10" s="20"/>
      <c r="J10" s="27">
        <f>IF(AND(YEAR(FebSun1+7)=Year,MONTH(FebSun1+7)=2),FebSun1+7, "")</f>
        <v>46061</v>
      </c>
      <c r="K10" s="27">
        <f>IF(AND(YEAR(FebSun1+8)=Year,MONTH(FebSun1+8)=2),FebSun1+8, "")</f>
        <v>46062</v>
      </c>
      <c r="L10" s="27">
        <f>IF(AND(YEAR(FebSun1+9)=Year,MONTH(FebSun1+9)=2),FebSun1+9, "")</f>
        <v>46063</v>
      </c>
      <c r="M10" s="27">
        <f>IF(AND(YEAR(FebSun1+10)=Year,MONTH(FebSun1+10)=2),FebSun1+10, "")</f>
        <v>46064</v>
      </c>
      <c r="N10" s="27">
        <f>IF(AND(YEAR(FebSun1+11)=Year,MONTH(FebSun1+11)=2),FebSun1+11, "")</f>
        <v>46065</v>
      </c>
      <c r="O10" s="27">
        <f>IF(AND(YEAR(FebSun1+12)=Year,MONTH(FebSun1+12)=2),FebSun1+12, "")</f>
        <v>46066</v>
      </c>
      <c r="P10" s="27">
        <f>IF(AND(YEAR(FebSun1+13)=Year,MONTH(FebSun1+13)=2),FebSun1+13, "")</f>
        <v>46067</v>
      </c>
      <c r="Q10" s="20"/>
      <c r="R10" s="27">
        <f>IF(AND(YEAR(MarSun1+7)=Year,MONTH(MarSun1+7)=3),MarSun1+7, "")</f>
        <v>46089</v>
      </c>
      <c r="S10" s="27">
        <f>IF(AND(YEAR(MarSun1+8)=Year,MONTH(MarSun1+8)=3),MarSun1+8, "")</f>
        <v>46090</v>
      </c>
      <c r="T10" s="27">
        <f>IF(AND(YEAR(MarSun1+9)=Year,MONTH(MarSun1+9)=3),MarSun1+9, "")</f>
        <v>46091</v>
      </c>
      <c r="U10" s="27">
        <f>IF(AND(YEAR(MarSun1+10)=Year,MONTH(MarSun1+10)=3),MarSun1+10, "")</f>
        <v>46092</v>
      </c>
      <c r="V10" s="27">
        <f>IF(AND(YEAR(MarSun1+11)=Year,MONTH(MarSun1+11)=3),MarSun1+11, "")</f>
        <v>46093</v>
      </c>
      <c r="W10" s="27">
        <f>IF(AND(YEAR(MarSun1+12)=Year,MONTH(MarSun1+12)=3),MarSun1+12, "")</f>
        <v>46094</v>
      </c>
      <c r="X10" s="27">
        <f>IF(AND(YEAR(MarSun1+13)=Year,MONTH(MarSun1+13)=3),MarSun1+13, "")</f>
        <v>46095</v>
      </c>
      <c r="Y10" s="20"/>
    </row>
    <row r="11" spans="1:25" s="23" customFormat="1" ht="25.05" customHeight="1" x14ac:dyDescent="0.35">
      <c r="A11" s="52"/>
      <c r="B11" s="24">
        <f>IF(AND(YEAR(JanSun1+14)=Year,MONTH(JanSun1+14)=1),JanSun1+14, "")</f>
        <v>46033</v>
      </c>
      <c r="C11" s="25">
        <f>IF(AND(YEAR(JanSun1+15)=Year,MONTH(JanSun1+15)=1),JanSun1+15, "")</f>
        <v>46034</v>
      </c>
      <c r="D11" s="25">
        <f>IF(AND(YEAR(JanSun1+16)=Year,MONTH(JanSun1+16)=1),JanSun1+16, "")</f>
        <v>46035</v>
      </c>
      <c r="E11" s="25">
        <f>IF(AND(YEAR(JanSun1+17)=Year,MONTH(JanSun1+17)=1),JanSun1+17, "")</f>
        <v>46036</v>
      </c>
      <c r="F11" s="25">
        <f>IF(AND(YEAR(JanSun1+18)=Year,MONTH(JanSun1+18)=1),JanSun1+18, "")</f>
        <v>46037</v>
      </c>
      <c r="G11" s="25">
        <f>IF(AND(YEAR(JanSun1+19)=Year,MONTH(JanSun1+19)=1),JanSun1+19, "")</f>
        <v>46038</v>
      </c>
      <c r="H11" s="26">
        <f>IF(AND(YEAR(JanSun1+20)=Year,MONTH(JanSun1+20)=1),JanSun1+20, "")</f>
        <v>46039</v>
      </c>
      <c r="I11" s="20"/>
      <c r="J11" s="28">
        <f>IF(AND(YEAR(FebSun1+14)=Year,MONTH(FebSun1+14)=2),FebSun1+14, "")</f>
        <v>46068</v>
      </c>
      <c r="K11" s="30">
        <f>IF(AND(YEAR(FebSun1+15)=Year,MONTH(FebSun1+15)=2),FebSun1+15, "")</f>
        <v>46069</v>
      </c>
      <c r="L11" s="27">
        <f>IF(AND(YEAR(FebSun1+16)=Year,MONTH(FebSun1+16)=2),FebSun1+16, "")</f>
        <v>46070</v>
      </c>
      <c r="M11" s="27">
        <f>IF(AND(YEAR(FebSun1+17)=Year,MONTH(FebSun1+17)=2),FebSun1+17, "")</f>
        <v>46071</v>
      </c>
      <c r="N11" s="27">
        <f>IF(AND(YEAR(FebSun1+18)=Year,MONTH(FebSun1+18)=2),FebSun1+18, "")</f>
        <v>46072</v>
      </c>
      <c r="O11" s="27">
        <f>IF(AND(YEAR(FebSun1+19)=Year,MONTH(FebSun1+19)=2),FebSun1+19, "")</f>
        <v>46073</v>
      </c>
      <c r="P11" s="27">
        <f>IF(AND(YEAR(FebSun1+20)=Year,MONTH(FebSun1+20)=2),FebSun1+20, "")</f>
        <v>46074</v>
      </c>
      <c r="Q11" s="20"/>
      <c r="R11" s="28">
        <f>IF(AND(YEAR(MarSun1+14)=Year,MONTH(MarSun1+14)=3),MarSun1+14, "")</f>
        <v>46096</v>
      </c>
      <c r="S11" s="27">
        <f>IF(AND(YEAR(MarSun1+15)=Year,MONTH(MarSun1+15)=3),MarSun1+15, "")</f>
        <v>46097</v>
      </c>
      <c r="T11" s="27">
        <f>IF(AND(YEAR(MarSun1+16)=Year,MONTH(MarSun1+16)=3),MarSun1+16, "")</f>
        <v>46098</v>
      </c>
      <c r="U11" s="27">
        <f>IF(AND(YEAR(MarSun1+17)=Year,MONTH(MarSun1+17)=3),MarSun1+17, "")</f>
        <v>46099</v>
      </c>
      <c r="V11" s="27">
        <f>IF(AND(YEAR(MarSun1+18)=Year,MONTH(MarSun1+18)=3),MarSun1+18, "")</f>
        <v>46100</v>
      </c>
      <c r="W11" s="27">
        <f>IF(AND(YEAR(MarSun1+19)=Year,MONTH(MarSun1+19)=3),MarSun1+19, "")</f>
        <v>46101</v>
      </c>
      <c r="X11" s="27">
        <f>IF(AND(YEAR(MarSun1+20)=Year,MONTH(MarSun1+20)=3),MarSun1+20, "")</f>
        <v>46102</v>
      </c>
      <c r="Y11" s="20"/>
    </row>
    <row r="12" spans="1:25" s="23" customFormat="1" ht="25.05" customHeight="1" x14ac:dyDescent="0.35">
      <c r="A12" s="52"/>
      <c r="B12" s="75">
        <f>IF(AND(YEAR(JanSun1+21)=Year,MONTH(JanSun1+21)=1),JanSun1+21, "")</f>
        <v>46040</v>
      </c>
      <c r="C12" s="29">
        <f>IF(AND(YEAR(JanSun1+22)=Year,MONTH(JanSun1+22)=1),JanSun1+22, "")</f>
        <v>46041</v>
      </c>
      <c r="D12" s="25">
        <f>IF(AND(YEAR(JanSun1+23)=Year,MONTH(JanSun1+23)=1),JanSun1+23, "")</f>
        <v>46042</v>
      </c>
      <c r="E12" s="25">
        <f>IF(AND(YEAR(JanSun1+24)=Year,MONTH(JanSun1+24)=1),JanSun1+24, "")</f>
        <v>46043</v>
      </c>
      <c r="F12" s="25">
        <f>IF(AND(YEAR(JanSun1+25)=Year,MONTH(JanSun1+25)=1),JanSun1+25, "")</f>
        <v>46044</v>
      </c>
      <c r="G12" s="25">
        <f>IF(AND(YEAR(JanSun1+26)=Year,MONTH(JanSun1+26)=1),JanSun1+26, "")</f>
        <v>46045</v>
      </c>
      <c r="H12" s="26">
        <f>IF(AND(YEAR(JanSun1+27)=Year,MONTH(JanSun1+27)=1),JanSun1+27, "")</f>
        <v>46046</v>
      </c>
      <c r="I12" s="20"/>
      <c r="J12" s="27">
        <f>IF(AND(YEAR(FebSun1+21)=Year,MONTH(FebSun1+21)=2),FebSun1+21, "")</f>
        <v>46075</v>
      </c>
      <c r="K12" s="27">
        <f>IF(AND(YEAR(FebSun1+22)=Year,MONTH(FebSun1+22)=2),FebSun1+22, "")</f>
        <v>46076</v>
      </c>
      <c r="L12" s="27">
        <f>IF(AND(YEAR(FebSun1+23)=Year,MONTH(FebSun1+23)=2),FebSun1+23, "")</f>
        <v>46077</v>
      </c>
      <c r="M12" s="27">
        <f>IF(AND(YEAR(FebSun1+24)=Year,MONTH(FebSun1+24)=2),FebSun1+24, "")</f>
        <v>46078</v>
      </c>
      <c r="N12" s="27">
        <f>IF(AND(YEAR(FebSun1+25)=Year,MONTH(FebSun1+25)=2),FebSun1+25, "")</f>
        <v>46079</v>
      </c>
      <c r="O12" s="27">
        <f>IF(AND(YEAR(FebSun1+26)=Year,MONTH(FebSun1+26)=2),FebSun1+26, "")</f>
        <v>46080</v>
      </c>
      <c r="P12" s="27">
        <f>IF(AND(YEAR(FebSun1+27)=Year,MONTH(FebSun1+27)=2),FebSun1+27, "")</f>
        <v>46081</v>
      </c>
      <c r="Q12" s="20"/>
      <c r="R12" s="27">
        <f>IF(AND(YEAR(MarSun1+21)=Year,MONTH(MarSun1+21)=3),MarSun1+21, "")</f>
        <v>46103</v>
      </c>
      <c r="S12" s="27">
        <f>IF(AND(YEAR(MarSun1+22)=Year,MONTH(MarSun1+22)=3),MarSun1+22, "")</f>
        <v>46104</v>
      </c>
      <c r="T12" s="27">
        <f>IF(AND(YEAR(MarSun1+23)=Year,MONTH(MarSun1+23)=3),MarSun1+23, "")</f>
        <v>46105</v>
      </c>
      <c r="U12" s="27">
        <f>IF(AND(YEAR(MarSun1+24)=Year,MONTH(MarSun1+24)=3),MarSun1+24, "")</f>
        <v>46106</v>
      </c>
      <c r="V12" s="27">
        <f>IF(AND(YEAR(MarSun1+25)=Year,MONTH(MarSun1+25)=3),MarSun1+25, "")</f>
        <v>46107</v>
      </c>
      <c r="W12" s="27">
        <f>IF(AND(YEAR(MarSun1+26)=Year,MONTH(MarSun1+26)=3),MarSun1+26, "")</f>
        <v>46108</v>
      </c>
      <c r="X12" s="27">
        <f>IF(AND(YEAR(MarSun1+27)=Year,MONTH(MarSun1+27)=3),MarSun1+27, "")</f>
        <v>46109</v>
      </c>
      <c r="Y12" s="20"/>
    </row>
    <row r="13" spans="1:25" s="23" customFormat="1" ht="25.05" customHeight="1" x14ac:dyDescent="0.35">
      <c r="A13" s="52"/>
      <c r="B13" s="17">
        <f>IF(AND(YEAR(JanSun1+28)=Year,MONTH(JanSun1+28)=1),JanSun1+28, "")</f>
        <v>46047</v>
      </c>
      <c r="C13" s="25">
        <f>IF(AND(YEAR(JanSun1+29)=Year,MONTH(JanSun1+29)=1),JanSun1+29, "")</f>
        <v>46048</v>
      </c>
      <c r="D13" s="25">
        <f>IF(AND(YEAR(JanSun1+30)=Year,MONTH(JanSun1+30)=1),JanSun1+30, "")</f>
        <v>46049</v>
      </c>
      <c r="E13" s="25">
        <f>IF(AND(YEAR(JanSun1+31)=Year,MONTH(JanSun1+31)=1),JanSun1+31, "")</f>
        <v>46050</v>
      </c>
      <c r="F13" s="25">
        <f>IF(AND(YEAR(JanSun1+32)=Year,MONTH(JanSun1+32)=1),JanSun1+32, "")</f>
        <v>46051</v>
      </c>
      <c r="G13" s="25">
        <f>IF(AND(YEAR(JanSun1+33)=Year,MONTH(JanSun1+33)=1),JanSun1+33, "")</f>
        <v>46052</v>
      </c>
      <c r="H13" s="26">
        <f>IF(AND(YEAR(JanSun1+34)=Year,MONTH(JanSun1+34)=1),JanSun1+34, "")</f>
        <v>46053</v>
      </c>
      <c r="I13" s="20"/>
      <c r="J13" s="27" t="str">
        <f>IF(AND(YEAR(FebSun1+28)=Year,MONTH(FebSun1+28)=2),FebSun1+28, "")</f>
        <v/>
      </c>
      <c r="K13" s="27" t="str">
        <f>IF(AND(YEAR(FebSun1+29)=Year,MONTH(FebSun1+29)=2),FebSun1+29, "")</f>
        <v/>
      </c>
      <c r="L13" s="27" t="str">
        <f>IF(AND(YEAR(FebSun1+30)=Year,MONTH(FebSun1+30)=2),FebSun1+30, "")</f>
        <v/>
      </c>
      <c r="M13" s="27" t="str">
        <f>IF(AND(YEAR(FebSun1+31)=Year,MONTH(FebSun1+31)=2),FebSun1+31, "")</f>
        <v/>
      </c>
      <c r="N13" s="27" t="str">
        <f>IF(AND(YEAR(FebSun1+32)=Year,MONTH(FebSun1+32)=2),FebSun1+32, "")</f>
        <v/>
      </c>
      <c r="O13" s="27" t="str">
        <f>IF(AND(YEAR(FebSun1+33)=Year,MONTH(FebSun1+33)=2),FebSun1+33, "")</f>
        <v/>
      </c>
      <c r="P13" s="27" t="str">
        <f>IF(AND(YEAR(FebSun1+34)=Year,MONTH(FebSun1+34)=2),FebSun1+34, "")</f>
        <v/>
      </c>
      <c r="Q13" s="20"/>
      <c r="R13" s="27">
        <f>IF(AND(YEAR(MarSun1+28)=Year,MONTH(MarSun1+28)=3),MarSun1+28, "")</f>
        <v>46110</v>
      </c>
      <c r="S13" s="27">
        <f>IF(AND(YEAR(MarSun1+29)=Year,MONTH(MarSun1+29)=3),MarSun1+29, "")</f>
        <v>46111</v>
      </c>
      <c r="T13" s="48">
        <f>IF(AND(YEAR(MarSun1+30)=Year,MONTH(MarSun1+30)=3),MarSun1+30, "")</f>
        <v>46112</v>
      </c>
      <c r="U13" s="27" t="str">
        <f>IF(AND(YEAR(MarSun1+31)=Year,MONTH(MarSun1+31)=3),MarSun1+31, "")</f>
        <v/>
      </c>
      <c r="V13" s="27" t="str">
        <f>IF(AND(YEAR(MarSun1+32)=Year,MONTH(MarSun1+32)=3),MarSun1+32, "")</f>
        <v/>
      </c>
      <c r="W13" s="27" t="str">
        <f>IF(AND(YEAR(MarSun1+33)=Year,MONTH(MarSun1+33)=3),MarSun1+33, "")</f>
        <v/>
      </c>
      <c r="X13" s="27" t="str">
        <f>IF(AND(YEAR(MarSun1+34)=Year,MONTH(MarSun1+34)=3),MarSun1+34, "")</f>
        <v/>
      </c>
      <c r="Y13" s="20"/>
    </row>
    <row r="14" spans="1:25" ht="25.05" customHeight="1" x14ac:dyDescent="0.35">
      <c r="A14" s="52"/>
      <c r="B14" s="4" t="str">
        <f>IF(AND(YEAR(JanSun1+35)=Year,MONTH(JanSun1+35)=1),JanSun1+35, "")</f>
        <v/>
      </c>
      <c r="C14" s="5" t="str">
        <f>IF(AND(YEAR(JanSun1+36)=Year,MONTH(JanSun1+36)=1),JanSun1+36, "")</f>
        <v/>
      </c>
      <c r="D14" s="5" t="str">
        <f>IF(AND(YEAR(JanSun1+37)=Year,MONTH(JanSun1+37)=1),JanSun1+37, "")</f>
        <v/>
      </c>
      <c r="E14" s="5" t="str">
        <f>IF(AND(YEAR(JanSun1+38)=Year,MONTH(JanSun1+38)=1),JanSun1+38, "")</f>
        <v/>
      </c>
      <c r="F14" s="5" t="str">
        <f>IF(AND(YEAR(JanSun1+39)=Year,MONTH(JanSun1+39)=1),JanSun1+39, "")</f>
        <v/>
      </c>
      <c r="G14" s="5" t="str">
        <f>IF(AND(YEAR(JanSun1+40)=Year,MONTH(JanSun1+40)=1),JanSun1+40, "")</f>
        <v/>
      </c>
      <c r="H14" s="6" t="str">
        <f>IF(AND(YEAR(JanSun1+41)=Year,MONTH(JanSun1+41)=1),JanSun1+41, "")</f>
        <v/>
      </c>
      <c r="I14" s="13"/>
      <c r="J14" s="7" t="str">
        <f>IF(AND(YEAR(FebSun1+35)=Year,MONTH(FebSun1+35)=2),FebSun1+35, "")</f>
        <v/>
      </c>
      <c r="K14" s="7" t="str">
        <f>IF(AND(YEAR(FebSun1+36)=Year,MONTH(FebSun1+36)=2),FebSun1+36, "")</f>
        <v/>
      </c>
      <c r="L14" s="7" t="str">
        <f>IF(AND(YEAR(FebSun1+37)=Year,MONTH(FebSun1+37)=2),FebSun1+37, "")</f>
        <v/>
      </c>
      <c r="M14" s="7" t="str">
        <f>IF(AND(YEAR(FebSun1+38)=Year,MONTH(FebSun1+38)=2),FebSun1+38, "")</f>
        <v/>
      </c>
      <c r="N14" s="7" t="str">
        <f>IF(AND(YEAR(FebSun1+39)=Year,MONTH(FebSun1+39)=2),FebSun1+39, "")</f>
        <v/>
      </c>
      <c r="O14" s="7" t="str">
        <f>IF(AND(YEAR(FebSun1+40)=Year,MONTH(FebSun1+40)=2),FebSun1+40, "")</f>
        <v/>
      </c>
      <c r="P14" s="7" t="str">
        <f>IF(AND(YEAR(FebSun1+41)=Year,MONTH(FebSun1+41)=2),FebSun1+41, "")</f>
        <v/>
      </c>
      <c r="Q14" s="13"/>
      <c r="R14" s="7" t="str">
        <f>IF(AND(YEAR(MarSun1+35)=Year,MONTH(MarSun1+35)=3),MarSun1+35, "")</f>
        <v/>
      </c>
      <c r="S14" s="7" t="str">
        <f>IF(AND(YEAR(MarSun1+36)=Year,MONTH(MarSun1+36)=3),MarSun1+36, "")</f>
        <v/>
      </c>
      <c r="T14" s="7" t="str">
        <f>IF(AND(YEAR(MarSun1+37)=Year,MONTH(MarSun1+37)=3),MarSun1+37, "")</f>
        <v/>
      </c>
      <c r="U14" s="7" t="str">
        <f>IF(AND(YEAR(MarSun1+38)=Year,MONTH(MarSun1+38)=3),MarSun1+38, "")</f>
        <v/>
      </c>
      <c r="V14" s="7" t="str">
        <f>IF(AND(YEAR(MarSun1+39)=Year,MONTH(MarSun1+39)=3),MarSun1+39, "")</f>
        <v/>
      </c>
      <c r="W14" s="7" t="str">
        <f>IF(AND(YEAR(MarSun1+40)=Year,MONTH(MarSun1+40)=3),MarSun1+40, "")</f>
        <v/>
      </c>
      <c r="X14" s="7" t="str">
        <f>IF(AND(YEAR(MarSun1+41)=Year,MONTH(MarSun1+41)=3),MarSun1+41, "")</f>
        <v/>
      </c>
      <c r="Y14" s="13"/>
    </row>
    <row r="15" spans="1:25" ht="18" customHeight="1" x14ac:dyDescent="0.35">
      <c r="A15" s="52"/>
      <c r="B15" s="2"/>
      <c r="C15" s="2"/>
      <c r="D15" s="2"/>
      <c r="E15" s="2"/>
      <c r="F15" s="2"/>
      <c r="G15" s="2"/>
      <c r="H15" s="2"/>
      <c r="I15" s="13"/>
      <c r="J15" s="13"/>
      <c r="K15" s="13"/>
      <c r="L15" s="13"/>
      <c r="M15" s="13"/>
      <c r="N15" s="13"/>
      <c r="O15" s="13"/>
      <c r="P15" s="13"/>
      <c r="Q15" s="13"/>
      <c r="R15" s="1"/>
      <c r="S15" s="1"/>
      <c r="T15" s="1"/>
      <c r="U15" s="1"/>
      <c r="V15" s="1"/>
      <c r="W15" s="1"/>
      <c r="X15" s="1"/>
      <c r="Y15" s="13"/>
    </row>
    <row r="16" spans="1:25" s="32" customFormat="1" ht="34.950000000000003" customHeight="1" x14ac:dyDescent="0.35">
      <c r="A16" s="52"/>
      <c r="B16" s="58" t="s">
        <v>3</v>
      </c>
      <c r="C16" s="58"/>
      <c r="D16" s="58"/>
      <c r="E16" s="58"/>
      <c r="F16" s="58"/>
      <c r="G16" s="58"/>
      <c r="H16" s="58"/>
      <c r="I16" s="20"/>
      <c r="J16" s="58" t="s">
        <v>4</v>
      </c>
      <c r="K16" s="58"/>
      <c r="L16" s="58"/>
      <c r="M16" s="58"/>
      <c r="N16" s="58"/>
      <c r="O16" s="58"/>
      <c r="P16" s="58"/>
      <c r="Q16" s="20"/>
      <c r="R16" s="58" t="s">
        <v>5</v>
      </c>
      <c r="S16" s="58"/>
      <c r="T16" s="58"/>
      <c r="U16" s="58"/>
      <c r="V16" s="58"/>
      <c r="W16" s="58"/>
      <c r="X16" s="58"/>
      <c r="Y16" s="20"/>
    </row>
    <row r="17" spans="1:31" s="32" customFormat="1" ht="25.05" customHeight="1" x14ac:dyDescent="0.35">
      <c r="A17" s="52"/>
      <c r="B17" s="12" t="s">
        <v>12</v>
      </c>
      <c r="C17" s="12" t="s">
        <v>13</v>
      </c>
      <c r="D17" s="12" t="s">
        <v>14</v>
      </c>
      <c r="E17" s="12" t="s">
        <v>15</v>
      </c>
      <c r="F17" s="12" t="s">
        <v>16</v>
      </c>
      <c r="G17" s="12" t="s">
        <v>17</v>
      </c>
      <c r="H17" s="12" t="s">
        <v>18</v>
      </c>
      <c r="I17" s="20"/>
      <c r="J17" s="12" t="s">
        <v>12</v>
      </c>
      <c r="K17" s="12" t="s">
        <v>13</v>
      </c>
      <c r="L17" s="12" t="s">
        <v>14</v>
      </c>
      <c r="M17" s="12" t="s">
        <v>15</v>
      </c>
      <c r="N17" s="12" t="s">
        <v>16</v>
      </c>
      <c r="O17" s="12" t="s">
        <v>17</v>
      </c>
      <c r="P17" s="12" t="s">
        <v>18</v>
      </c>
      <c r="Q17" s="20"/>
      <c r="R17" s="12" t="s">
        <v>12</v>
      </c>
      <c r="S17" s="12" t="s">
        <v>13</v>
      </c>
      <c r="T17" s="12" t="s">
        <v>14</v>
      </c>
      <c r="U17" s="12" t="s">
        <v>15</v>
      </c>
      <c r="V17" s="12" t="s">
        <v>16</v>
      </c>
      <c r="W17" s="12" t="s">
        <v>17</v>
      </c>
      <c r="X17" s="12" t="s">
        <v>18</v>
      </c>
      <c r="Y17" s="20"/>
    </row>
    <row r="18" spans="1:31" s="23" customFormat="1" ht="25.05" customHeight="1" x14ac:dyDescent="0.35">
      <c r="A18" s="52"/>
      <c r="B18" s="21" t="str">
        <f>IF(AND(YEAR(AprSun1)=Year,MONTH(AprSun1)=4),AprSun1, "")</f>
        <v/>
      </c>
      <c r="C18" s="21" t="str">
        <f>IF(AND(YEAR(AprSun1+1)=Year,MONTH(AprSun1+1)=4),AprSun1+1, "")</f>
        <v/>
      </c>
      <c r="D18" s="21" t="str">
        <f>IF(AND(YEAR(AprSun1+2)=Year,MONTH(AprSun1+2)=4),AprSun1+2, "")</f>
        <v/>
      </c>
      <c r="E18" s="21">
        <f>IF(AND(YEAR(AprSun1+3)=Year,MONTH(AprSun1+3)=4),AprSun1+3, "")</f>
        <v>46113</v>
      </c>
      <c r="F18" s="21">
        <f>IF(AND(YEAR(AprSun1+4)=Year,MONTH(AprSun1+4)=4),AprSun1+4, "")</f>
        <v>46114</v>
      </c>
      <c r="G18" s="21">
        <f>IF(AND(YEAR(AprSun1+5)=Year,MONTH(AprSun1+5)=4),AprSun1+5, "")</f>
        <v>46115</v>
      </c>
      <c r="H18" s="22">
        <f>IF(AND(YEAR(AprSun1+6)=Year,MONTH(AprSun1+6)=4),AprSun1+6, "")</f>
        <v>46116</v>
      </c>
      <c r="I18" s="20"/>
      <c r="J18" s="21" t="str">
        <f>IF(AND(YEAR(MaySun1)=Year,MONTH(MaySun1)=5),MaySun1, "")</f>
        <v/>
      </c>
      <c r="K18" s="21" t="str">
        <f>IF(AND(YEAR(MaySun1+1)=Year,MONTH(MaySun1+1)=5),MaySun1+1, "")</f>
        <v/>
      </c>
      <c r="L18" s="21" t="str">
        <f>IF(AND(YEAR(MaySun1+2)=Year,MONTH(MaySun1+2)=5),MaySun1+2, "")</f>
        <v/>
      </c>
      <c r="M18" s="21" t="str">
        <f>IF(AND(YEAR(MaySun1+3)=Year,MONTH(MaySun1+3)=5),MaySun1+3, "")</f>
        <v/>
      </c>
      <c r="N18" s="21" t="str">
        <f>IF(AND(YEAR(MaySun1+4)=Year,MONTH(MaySun1+4)=5),MaySun1+4, "")</f>
        <v/>
      </c>
      <c r="O18" s="21">
        <f>IF(AND(YEAR(MaySun1+5)=Year,MONTH(MaySun1+5)=5),MaySun1+5, "")</f>
        <v>46143</v>
      </c>
      <c r="P18" s="22">
        <f>IF(AND(YEAR(MaySun1+6)=Year,MONTH(MaySun1+6)=5),MaySun1+6, "")</f>
        <v>46144</v>
      </c>
      <c r="Q18" s="20"/>
      <c r="R18" s="21" t="str">
        <f>IF(AND(YEAR(JunSun1)=Year,MONTH(JunSun1)=6),JunSun1, "")</f>
        <v/>
      </c>
      <c r="S18" s="33">
        <f>IF(AND(YEAR(JunSun1+1)=Year,MONTH(JunSun1+1)=6),JunSun1+1, "")</f>
        <v>46174</v>
      </c>
      <c r="T18" s="21">
        <f>IF(AND(YEAR(JunSun1+2)=Year,MONTH(JunSun1+2)=6),JunSun1+2, "")</f>
        <v>46175</v>
      </c>
      <c r="U18" s="21">
        <f>IF(AND(YEAR(JunSun1+3)=Year,MONTH(JunSun1+3)=6),JunSun1+3, "")</f>
        <v>46176</v>
      </c>
      <c r="V18" s="34">
        <f>IF(AND(YEAR(JunSun1+4)=Year,MONTH(JunSun1+4)=6),JunSun1+4, "")</f>
        <v>46177</v>
      </c>
      <c r="W18" s="34">
        <f>IF(AND(YEAR(JunSun1+5)=Year,MONTH(JunSun1+5)=6),JunSun1+5, "")</f>
        <v>46178</v>
      </c>
      <c r="X18" s="35">
        <f>IF(AND(YEAR(JunSun1+6)=Year,MONTH(JunSun1+6)=6),JunSun1+6, "")</f>
        <v>46179</v>
      </c>
      <c r="Y18" s="20"/>
    </row>
    <row r="19" spans="1:31" s="23" customFormat="1" ht="25.05" customHeight="1" x14ac:dyDescent="0.35">
      <c r="A19" s="52"/>
      <c r="B19" s="27">
        <f>IF(AND(YEAR(AprSun1+7)=Year,MONTH(AprSun1+7)=4),AprSun1+7, "")</f>
        <v>46117</v>
      </c>
      <c r="C19" s="27">
        <f>IF(AND(YEAR(AprSun1+8)=Year,MONTH(AprSun1+8)=4),AprSun1+8, "")</f>
        <v>46118</v>
      </c>
      <c r="D19" s="27">
        <f>IF(AND(YEAR(AprSun1+9)=Year,MONTH(AprSun1+9)=4),AprSun1+9, "")</f>
        <v>46119</v>
      </c>
      <c r="E19" s="27">
        <f>IF(AND(YEAR(AprSun1+10)=Year,MONTH(AprSun1+10)=4),AprSun1+10, "")</f>
        <v>46120</v>
      </c>
      <c r="F19" s="27">
        <f>IF(AND(YEAR(AprSun1+11)=Year,MONTH(AprSun1+11)=4),AprSun1+11, "")</f>
        <v>46121</v>
      </c>
      <c r="G19" s="27">
        <f>IF(AND(YEAR(AprSun1+12)=Year,MONTH(AprSun1+12)=4),AprSun1+12, "")</f>
        <v>46122</v>
      </c>
      <c r="H19" s="27">
        <f>IF(AND(YEAR(AprSun1+13)=Year,MONTH(AprSun1+13)=4),AprSun1+13, "")</f>
        <v>46123</v>
      </c>
      <c r="I19" s="20"/>
      <c r="J19" s="27">
        <f>IF(AND(YEAR(MaySun1+7)=Year,MONTH(MaySun1+7)=5),MaySun1+7, "")</f>
        <v>46145</v>
      </c>
      <c r="K19" s="36">
        <f>IF(AND(YEAR(MaySun1+8)=Year,MONTH(MaySun1+8)=5),MaySun1+8, "")</f>
        <v>46146</v>
      </c>
      <c r="L19" s="27">
        <f>IF(AND(YEAR(MaySun1+9)=Year,MONTH(MaySun1+9)=5),MaySun1+9, "")</f>
        <v>46147</v>
      </c>
      <c r="M19" s="27">
        <f>IF(AND(YEAR(MaySun1+10)=Year,MONTH(MaySun1+10)=5),MaySun1+10, "")</f>
        <v>46148</v>
      </c>
      <c r="N19" s="27">
        <f>IF(AND(YEAR(MaySun1+11)=Year,MONTH(MaySun1+11)=5),MaySun1+11, "")</f>
        <v>46149</v>
      </c>
      <c r="O19" s="27">
        <f>IF(AND(YEAR(MaySun1+12)=Year,MONTH(MaySun1+12)=5),MaySun1+12, "")</f>
        <v>46150</v>
      </c>
      <c r="P19" s="27">
        <f>IF(AND(YEAR(MaySun1+13)=Year,MONTH(MaySun1+13)=5),MaySun1+13, "")</f>
        <v>46151</v>
      </c>
      <c r="Q19" s="20"/>
      <c r="R19" s="37">
        <f>IF(AND(YEAR(JunSun1+7)=Year,MONTH(JunSun1+7)=6),JunSun1+7, "")</f>
        <v>46180</v>
      </c>
      <c r="S19" s="36">
        <f>IF(AND(YEAR(JunSun1+8)=Year,MONTH(JunSun1+8)=6),JunSun1+8, "")</f>
        <v>46181</v>
      </c>
      <c r="T19" s="27">
        <f>IF(AND(YEAR(JunSun1+9)=Year,MONTH(JunSun1+9)=6),JunSun1+9, "")</f>
        <v>46182</v>
      </c>
      <c r="U19" s="27">
        <f>IF(AND(YEAR(JunSun1+10)=Year,MONTH(JunSun1+10)=6),JunSun1+10, "")</f>
        <v>46183</v>
      </c>
      <c r="V19" s="27">
        <f>IF(AND(YEAR(JunSun1+11)=Year,MONTH(JunSun1+11)=6),JunSun1+11, "")</f>
        <v>46184</v>
      </c>
      <c r="W19" s="27">
        <f>IF(AND(YEAR(JunSun1+12)=Year,MONTH(JunSun1+12)=6),JunSun1+12, "")</f>
        <v>46185</v>
      </c>
      <c r="X19" s="27">
        <f>IF(AND(YEAR(JunSun1+13)=Year,MONTH(JunSun1+13)=6),JunSun1+13, "")</f>
        <v>46186</v>
      </c>
      <c r="Y19" s="20"/>
    </row>
    <row r="20" spans="1:31" s="23" customFormat="1" ht="25.05" customHeight="1" x14ac:dyDescent="0.35">
      <c r="A20" s="52"/>
      <c r="B20" s="28">
        <f>IF(AND(YEAR(AprSun1+14)=Year,MONTH(AprSun1+14)=4),AprSun1+14, "")</f>
        <v>46124</v>
      </c>
      <c r="C20" s="36">
        <f>IF(AND(YEAR(AprSun1+15)=Year,MONTH(AprSun1+15)=4),AprSun1+15, "")</f>
        <v>46125</v>
      </c>
      <c r="D20" s="27">
        <f>IF(AND(YEAR(AprSun1+16)=Year,MONTH(AprSun1+16)=4),AprSun1+16, "")</f>
        <v>46126</v>
      </c>
      <c r="E20" s="27">
        <f>IF(AND(YEAR(AprSun1+17)=Year,MONTH(AprSun1+17)=4),AprSun1+17, "")</f>
        <v>46127</v>
      </c>
      <c r="F20" s="27">
        <f>IF(AND(YEAR(AprSun1+18)=Year,MONTH(AprSun1+18)=4),AprSun1+18, "")</f>
        <v>46128</v>
      </c>
      <c r="G20" s="27">
        <f>IF(AND(YEAR(AprSun1+19)=Year,MONTH(AprSun1+19)=4),AprSun1+19, "")</f>
        <v>46129</v>
      </c>
      <c r="H20" s="27">
        <f>IF(AND(YEAR(AprSun1+20)=Year,MONTH(AprSun1+20)=4),AprSun1+20, "")</f>
        <v>46130</v>
      </c>
      <c r="I20" s="20"/>
      <c r="J20" s="28">
        <f>IF(AND(YEAR(MaySun1+14)=Year,MONTH(MaySun1+14)=5),MaySun1+14, "")</f>
        <v>46152</v>
      </c>
      <c r="K20" s="36">
        <f>IF(AND(YEAR(MaySun1+15)=Year,MONTH(MaySun1+15)=5),MaySun1+15, "")</f>
        <v>46153</v>
      </c>
      <c r="L20" s="27">
        <f>IF(AND(YEAR(MaySun1+16)=Year,MONTH(MaySun1+16)=5),MaySun1+16, "")</f>
        <v>46154</v>
      </c>
      <c r="M20" s="27">
        <f>IF(AND(YEAR(MaySun1+17)=Year,MONTH(MaySun1+17)=5),MaySun1+17, "")</f>
        <v>46155</v>
      </c>
      <c r="N20" s="27">
        <f>IF(AND(YEAR(MaySun1+18)=Year,MONTH(MaySun1+18)=5),MaySun1+18, "")</f>
        <v>46156</v>
      </c>
      <c r="O20" s="27">
        <f>IF(AND(YEAR(MaySun1+19)=Year,MONTH(MaySun1+19)=5),MaySun1+19, "")</f>
        <v>46157</v>
      </c>
      <c r="P20" s="27">
        <f>IF(AND(YEAR(MaySun1+20)=Year,MONTH(MaySun1+20)=5),MaySun1+20, "")</f>
        <v>46158</v>
      </c>
      <c r="Q20" s="20"/>
      <c r="R20" s="27">
        <f>IF(AND(YEAR(JunSun1+14)=Year,MONTH(JunSun1+14)=6),JunSun1+14, "")</f>
        <v>46187</v>
      </c>
      <c r="S20" s="36">
        <f>IF(AND(YEAR(JunSun1+15)=Year,MONTH(JunSun1+15)=6),JunSun1+15, "")</f>
        <v>46188</v>
      </c>
      <c r="T20" s="27">
        <f>IF(AND(YEAR(JunSun1+16)=Year,MONTH(JunSun1+16)=6),JunSun1+16, "")</f>
        <v>46189</v>
      </c>
      <c r="U20" s="27">
        <f>IF(AND(YEAR(JunSun1+17)=Year,MONTH(JunSun1+17)=6),JunSun1+17, "")</f>
        <v>46190</v>
      </c>
      <c r="V20" s="30">
        <f>IF(AND(YEAR(JunSun1+18)=Year,MONTH(JunSun1+18)=6),JunSun1+18, "")</f>
        <v>46191</v>
      </c>
      <c r="W20" s="27">
        <f>IF(AND(YEAR(JunSun1+19)=Year,MONTH(JunSun1+19)=6),JunSun1+19, "")</f>
        <v>46192</v>
      </c>
      <c r="X20" s="27">
        <f>IF(AND(YEAR(JunSun1+20)=Year,MONTH(JunSun1+20)=6),JunSun1+20, "")</f>
        <v>46193</v>
      </c>
      <c r="Y20" s="20"/>
    </row>
    <row r="21" spans="1:31" s="23" customFormat="1" ht="25.05" customHeight="1" x14ac:dyDescent="0.35">
      <c r="A21" s="52"/>
      <c r="B21" s="27">
        <f>IF(AND(YEAR(AprSun1+21)=Year,MONTH(AprSun1+21)=4),AprSun1+21, "")</f>
        <v>46131</v>
      </c>
      <c r="C21" s="36">
        <f>IF(AND(YEAR(AprSun1+22)=Year,MONTH(AprSun1+22)=4),AprSun1+22, "")</f>
        <v>46132</v>
      </c>
      <c r="D21" s="27">
        <f>IF(AND(YEAR(AprSun1+23)=Year,MONTH(AprSun1+23)=4),AprSun1+23, "")</f>
        <v>46133</v>
      </c>
      <c r="E21" s="27">
        <f>IF(AND(YEAR(AprSun1+24)=Year,MONTH(AprSun1+24)=4),AprSun1+24, "")</f>
        <v>46134</v>
      </c>
      <c r="F21" s="27">
        <f>IF(AND(YEAR(AprSun1+25)=Year,MONTH(AprSun1+25)=4),AprSun1+25, "")</f>
        <v>46135</v>
      </c>
      <c r="G21" s="27">
        <f>IF(AND(YEAR(AprSun1+26)=Year,MONTH(AprSun1+26)=4),AprSun1+26, "")</f>
        <v>46136</v>
      </c>
      <c r="H21" s="27">
        <f>IF(AND(YEAR(AprSun1+27)=Year,MONTH(AprSun1+27)=4),AprSun1+27, "")</f>
        <v>46137</v>
      </c>
      <c r="I21" s="20"/>
      <c r="J21" s="27">
        <f>IF(AND(YEAR(MaySun1+21)=Year,MONTH(MaySun1+21)=5),MaySun1+21, "")</f>
        <v>46159</v>
      </c>
      <c r="K21" s="36">
        <f>IF(AND(YEAR(MaySun1+22)=Year,MONTH(MaySun1+22)=5),MaySun1+22, "")</f>
        <v>46160</v>
      </c>
      <c r="L21" s="27">
        <f>IF(AND(YEAR(MaySun1+23)=Year,MONTH(MaySun1+23)=5),MaySun1+23, "")</f>
        <v>46161</v>
      </c>
      <c r="M21" s="27">
        <f>IF(AND(YEAR(MaySun1+24)=Year,MONTH(MaySun1+24)=5),MaySun1+24, "")</f>
        <v>46162</v>
      </c>
      <c r="N21" s="27">
        <f>IF(AND(YEAR(MaySun1+25)=Year,MONTH(MaySun1+25)=5),MaySun1+25, "")</f>
        <v>46163</v>
      </c>
      <c r="O21" s="27">
        <f>IF(AND(YEAR(MaySun1+26)=Year,MONTH(MaySun1+26)=5),MaySun1+26, "")</f>
        <v>46164</v>
      </c>
      <c r="P21" s="27">
        <f>IF(AND(YEAR(MaySun1+27)=Year,MONTH(MaySun1+27)=5),MaySun1+27, "")</f>
        <v>46165</v>
      </c>
      <c r="Q21" s="20"/>
      <c r="R21" s="27">
        <f>IF(AND(YEAR(JunSun1+21)=Year,MONTH(JunSun1+21)=6),JunSun1+21, "")</f>
        <v>46194</v>
      </c>
      <c r="S21" s="36">
        <f>IF(AND(YEAR(JunSun1+22)=Year,MONTH(JunSun1+22)=6),JunSun1+22, "")</f>
        <v>46195</v>
      </c>
      <c r="T21" s="27">
        <f>IF(AND(YEAR(JunSun1+23)=Year,MONTH(JunSun1+23)=6),JunSun1+23, "")</f>
        <v>46196</v>
      </c>
      <c r="U21" s="27">
        <f>IF(AND(YEAR(JunSun1+24)=Year,MONTH(JunSun1+24)=6),JunSun1+24, "")</f>
        <v>46197</v>
      </c>
      <c r="V21" s="27">
        <f>IF(AND(YEAR(JunSun1+25)=Year,MONTH(JunSun1+25)=6),JunSun1+25, "")</f>
        <v>46198</v>
      </c>
      <c r="W21" s="27">
        <f>IF(AND(YEAR(JunSun1+26)=Year,MONTH(JunSun1+26)=6),JunSun1+26, "")</f>
        <v>46199</v>
      </c>
      <c r="X21" s="27">
        <f>IF(AND(YEAR(JunSun1+27)=Year,MONTH(JunSun1+27)=6),JunSun1+27, "")</f>
        <v>46200</v>
      </c>
      <c r="Y21" s="20"/>
    </row>
    <row r="22" spans="1:31" s="23" customFormat="1" ht="25.05" customHeight="1" x14ac:dyDescent="0.35">
      <c r="A22" s="52"/>
      <c r="B22" s="38">
        <f>IF(AND(YEAR(AprSun1+28)=Year,MONTH(AprSun1+28)=4),AprSun1+28, "")</f>
        <v>46138</v>
      </c>
      <c r="C22" s="36">
        <f>IF(AND(YEAR(AprSun1+29)=Year,MONTH(AprSun1+29)=4),AprSun1+29, "")</f>
        <v>46139</v>
      </c>
      <c r="D22" s="31">
        <f>IF(AND(YEAR(AprSun1+30)=Year,MONTH(AprSun1+30)=4),AprSun1+30, "")</f>
        <v>46140</v>
      </c>
      <c r="E22" s="27">
        <f>IF(AND(YEAR(AprSun1+31)=Year,MONTH(AprSun1+31)=4),AprSun1+31, "")</f>
        <v>46141</v>
      </c>
      <c r="F22" s="27">
        <f>IF(AND(YEAR(AprSun1+32)=Year,MONTH(AprSun1+32)=4),AprSun1+32, "")</f>
        <v>46142</v>
      </c>
      <c r="G22" s="27" t="str">
        <f>IF(AND(YEAR(AprSun1+33)=Year,MONTH(AprSun1+33)=4),AprSun1+33, "")</f>
        <v/>
      </c>
      <c r="H22" s="27" t="str">
        <f>IF(AND(YEAR(AprSun1+34)=Year,MONTH(AprSun1+34)=4),AprSun1+34, "")</f>
        <v/>
      </c>
      <c r="I22" s="20"/>
      <c r="J22" s="49">
        <f>IF(AND(YEAR(MaySun1+28)=Year,MONTH(MaySun1+28)=5),MaySun1+28, "")</f>
        <v>46166</v>
      </c>
      <c r="K22" s="30">
        <f>IF(AND(YEAR(MaySun1+29)=Year,MONTH(MaySun1+29)=5),MaySun1+29, "")</f>
        <v>46167</v>
      </c>
      <c r="L22" s="31">
        <f>IF(AND(YEAR(MaySun1+30)=Year,MONTH(MaySun1+30)=5),MaySun1+30, "")</f>
        <v>46168</v>
      </c>
      <c r="M22" s="27">
        <f>IF(AND(YEAR(MaySun1+31)=Year,MONTH(MaySun1+31)=5),MaySun1+31, "")</f>
        <v>46169</v>
      </c>
      <c r="N22" s="27">
        <f>IF(AND(YEAR(MaySun1+32)=Year,MONTH(MaySun1+32)=5),MaySun1+32, "")</f>
        <v>46170</v>
      </c>
      <c r="O22" s="27">
        <f>IF(AND(YEAR(MaySun1+33)=Year,MONTH(MaySun1+33)=5),MaySun1+33, "")</f>
        <v>46171</v>
      </c>
      <c r="P22" s="39">
        <f>IF(AND(YEAR(MaySun1+34)=Year,MONTH(MaySun1+34)=5),MaySun1+34, "")</f>
        <v>46172</v>
      </c>
      <c r="Q22" s="20"/>
      <c r="R22" s="27">
        <f>IF(AND(YEAR(JunSun1+28)=Year,MONTH(JunSun1+28)=6),JunSun1+28, "")</f>
        <v>46201</v>
      </c>
      <c r="S22" s="36">
        <f>IF(AND(YEAR(JunSun1+29)=Year,MONTH(JunSun1+29)=6),JunSun1+29, "")</f>
        <v>46202</v>
      </c>
      <c r="T22" s="27">
        <f>IF(AND(YEAR(JunSun1+30)=Year,MONTH(JunSun1+30)=6),JunSun1+30, "")</f>
        <v>46203</v>
      </c>
      <c r="U22" s="27" t="str">
        <f>IF(AND(YEAR(JunSun1+31)=Year,MONTH(JunSun1+31)=6),JunSun1+31, "")</f>
        <v/>
      </c>
      <c r="V22" s="27" t="str">
        <f>IF(AND(YEAR(JunSun1+32)=Year,MONTH(JunSun1+32)=6),JunSun1+32, "")</f>
        <v/>
      </c>
      <c r="W22" s="27" t="str">
        <f>IF(AND(YEAR(JunSun1+33)=Year,MONTH(JunSun1+33)=6),JunSun1+33, "")</f>
        <v/>
      </c>
      <c r="X22" s="27" t="str">
        <f>IF(AND(YEAR(JunSun1+34)=Year,MONTH(JunSun1+34)=6),JunSun1+34, "")</f>
        <v/>
      </c>
      <c r="Y22" s="20"/>
    </row>
    <row r="23" spans="1:31" ht="25.05" customHeight="1" x14ac:dyDescent="0.35">
      <c r="A23" s="52"/>
      <c r="B23" s="7" t="str">
        <f>IF(AND(YEAR(AprSun1+35)=Year,MONTH(AprSun1+35)=4),AprSun1+35, "")</f>
        <v/>
      </c>
      <c r="C23" s="7" t="str">
        <f>IF(AND(YEAR(AprSun1+36)=Year,MONTH(AprSun1+36)=4),AprSun1+36, "")</f>
        <v/>
      </c>
      <c r="D23" s="7" t="str">
        <f>IF(AND(YEAR(AprSun1+37)=Year,MONTH(AprSun1+37)=4),AprSun1+37, "")</f>
        <v/>
      </c>
      <c r="E23" s="7" t="str">
        <f>IF(AND(YEAR(AprSun1+38)=Year,MONTH(AprSun1+38)=4),AprSun1+38, "")</f>
        <v/>
      </c>
      <c r="F23" s="7" t="str">
        <f>IF(AND(YEAR(AprSun1+39)=Year,MONTH(AprSun1+39)=4),AprSun1+39, "")</f>
        <v/>
      </c>
      <c r="G23" s="7" t="str">
        <f>IF(AND(YEAR(AprSun1+40)=Year,MONTH(AprSun1+40)=4),AprSun1+40, "")</f>
        <v/>
      </c>
      <c r="H23" s="7" t="str">
        <f>IF(AND(YEAR(AprSun1+41)=Year,MONTH(AprSun1+41)=4),AprSun1+41, "")</f>
        <v/>
      </c>
      <c r="I23" s="13"/>
      <c r="J23" s="7">
        <f>IF(AND(YEAR(MaySun1+35)=Year,MONTH(MaySun1+35)=5),MaySun1+35, "")</f>
        <v>46173</v>
      </c>
      <c r="K23" s="7" t="str">
        <f>IF(AND(YEAR(MaySun1+36)=Year,MONTH(MaySun1+36)=5),MaySun1+36, "")</f>
        <v/>
      </c>
      <c r="L23" s="7" t="str">
        <f>IF(AND(YEAR(MaySun1+37)=Year,MONTH(MaySun1+37)=5),MaySun1+37, "")</f>
        <v/>
      </c>
      <c r="M23" s="7" t="str">
        <f>IF(AND(YEAR(MaySun1+38)=Year,MONTH(MaySun1+38)=5),MaySun1+38, "")</f>
        <v/>
      </c>
      <c r="N23" s="7" t="str">
        <f>IF(AND(YEAR(MaySun1+39)=Year,MONTH(MaySun1+39)=5),MaySun1+39, "")</f>
        <v/>
      </c>
      <c r="O23" s="7" t="str">
        <f>IF(AND(YEAR(MaySun1+40)=Year,MONTH(MaySun1+40)=5),MaySun1+40, "")</f>
        <v/>
      </c>
      <c r="P23" s="7" t="str">
        <f>IF(AND(YEAR(MaySun1+41)=Year,MONTH(MaySun1+41)=5),MaySun1+41, "")</f>
        <v/>
      </c>
      <c r="Q23" s="13"/>
      <c r="R23" s="7" t="str">
        <f>IF(AND(YEAR(JunSun1+35)=Year,MONTH(JunSun1+35)=6),JunSun1+35, "")</f>
        <v/>
      </c>
      <c r="S23" s="7" t="str">
        <f>IF(AND(YEAR(JunSun1+36)=Year,MONTH(JunSun1+36)=6),JunSun1+36, "")</f>
        <v/>
      </c>
      <c r="T23" s="7" t="str">
        <f>IF(AND(YEAR(JunSun1+37)=Year,MONTH(JunSun1+37)=6),JunSun1+37, "")</f>
        <v/>
      </c>
      <c r="U23" s="7" t="str">
        <f>IF(AND(YEAR(JunSun1+38)=Year,MONTH(JunSun1+38)=6),JunSun1+38, "")</f>
        <v/>
      </c>
      <c r="V23" s="7" t="str">
        <f>IF(AND(YEAR(JunSun1+39)=Year,MONTH(JunSun1+39)=6),JunSun1+39, "")</f>
        <v/>
      </c>
      <c r="W23" s="7" t="str">
        <f>IF(AND(YEAR(JunSun1+40)=Year,MONTH(JunSun1+40)=6),JunSun1+40, "")</f>
        <v/>
      </c>
      <c r="X23" s="7" t="str">
        <f>IF(AND(YEAR(JunSun1+41)=Year,MONTH(JunSun1+41)=6),JunSun1+41, "")</f>
        <v/>
      </c>
      <c r="Y23" s="13"/>
    </row>
    <row r="24" spans="1:31" ht="18" customHeight="1" x14ac:dyDescent="0.35">
      <c r="A24" s="52"/>
      <c r="B24" s="1"/>
      <c r="C24" s="1"/>
      <c r="D24" s="1"/>
      <c r="E24" s="1"/>
      <c r="F24" s="1"/>
      <c r="G24" s="1"/>
      <c r="H24" s="1"/>
      <c r="I24" s="13"/>
      <c r="J24" s="13"/>
      <c r="K24" s="13"/>
      <c r="L24" s="13"/>
      <c r="M24" s="13"/>
      <c r="N24" s="13"/>
      <c r="O24" s="13"/>
      <c r="P24" s="13"/>
      <c r="Q24" s="13"/>
      <c r="R24" s="1"/>
      <c r="S24" s="1"/>
      <c r="T24" s="1"/>
      <c r="U24" s="1"/>
      <c r="V24" s="1"/>
      <c r="W24" s="1"/>
      <c r="X24" s="1"/>
      <c r="Y24" s="13"/>
    </row>
    <row r="25" spans="1:31" s="32" customFormat="1" ht="34.950000000000003" customHeight="1" x14ac:dyDescent="0.35">
      <c r="A25" s="52"/>
      <c r="B25" s="58" t="s">
        <v>6</v>
      </c>
      <c r="C25" s="58"/>
      <c r="D25" s="58"/>
      <c r="E25" s="58"/>
      <c r="F25" s="58"/>
      <c r="G25" s="58"/>
      <c r="H25" s="58"/>
      <c r="I25" s="20"/>
      <c r="J25" s="58" t="s">
        <v>9</v>
      </c>
      <c r="K25" s="58"/>
      <c r="L25" s="58"/>
      <c r="M25" s="58"/>
      <c r="N25" s="58"/>
      <c r="O25" s="58"/>
      <c r="P25" s="58"/>
      <c r="Q25" s="20"/>
      <c r="R25" s="58" t="s">
        <v>7</v>
      </c>
      <c r="S25" s="58"/>
      <c r="T25" s="58"/>
      <c r="U25" s="58"/>
      <c r="V25" s="58"/>
      <c r="W25" s="58"/>
      <c r="X25" s="58"/>
      <c r="Y25" s="20"/>
    </row>
    <row r="26" spans="1:31" s="32" customFormat="1" ht="25.05" customHeight="1" x14ac:dyDescent="0.35">
      <c r="A26" s="52"/>
      <c r="B26" s="12" t="s">
        <v>12</v>
      </c>
      <c r="C26" s="12" t="s">
        <v>13</v>
      </c>
      <c r="D26" s="12" t="s">
        <v>14</v>
      </c>
      <c r="E26" s="12" t="s">
        <v>15</v>
      </c>
      <c r="F26" s="12" t="s">
        <v>16</v>
      </c>
      <c r="G26" s="12" t="s">
        <v>17</v>
      </c>
      <c r="H26" s="12" t="s">
        <v>18</v>
      </c>
      <c r="I26" s="20"/>
      <c r="J26" s="12" t="s">
        <v>12</v>
      </c>
      <c r="K26" s="12" t="s">
        <v>13</v>
      </c>
      <c r="L26" s="12" t="s">
        <v>14</v>
      </c>
      <c r="M26" s="12" t="s">
        <v>15</v>
      </c>
      <c r="N26" s="12" t="s">
        <v>16</v>
      </c>
      <c r="O26" s="12" t="s">
        <v>17</v>
      </c>
      <c r="P26" s="12" t="s">
        <v>18</v>
      </c>
      <c r="Q26" s="20"/>
      <c r="R26" s="12" t="s">
        <v>12</v>
      </c>
      <c r="S26" s="12" t="s">
        <v>13</v>
      </c>
      <c r="T26" s="12" t="s">
        <v>14</v>
      </c>
      <c r="U26" s="12" t="s">
        <v>15</v>
      </c>
      <c r="V26" s="12" t="s">
        <v>16</v>
      </c>
      <c r="W26" s="12" t="s">
        <v>17</v>
      </c>
      <c r="X26" s="12" t="s">
        <v>18</v>
      </c>
      <c r="Y26" s="20"/>
    </row>
    <row r="27" spans="1:31" s="23" customFormat="1" ht="25.05" customHeight="1" x14ac:dyDescent="0.35">
      <c r="A27" s="52"/>
      <c r="B27" s="21" t="str">
        <f>IF(AND(YEAR(JulSun1)=Year,MONTH(JulSun1)=7),JulSun1, "")</f>
        <v/>
      </c>
      <c r="C27" s="21" t="str">
        <f>IF(AND(YEAR(JulSun1+1)=Year,MONTH(JulSun1+1)=7),JulSun1+1, "")</f>
        <v/>
      </c>
      <c r="D27" s="21" t="str">
        <f>IF(AND(YEAR(JulSun1+2)=Year,MONTH(JulSun1+2)=7),JulSun1+2, "")</f>
        <v/>
      </c>
      <c r="E27" s="21">
        <f>IF(AND(YEAR(JulSun1+3)=Year,MONTH(JulSun1+3)=7),JulSun1+3, "")</f>
        <v>46204</v>
      </c>
      <c r="F27" s="21">
        <f>IF(AND(YEAR(JulSun1+4)=Year,MONTH(JulSun1+4)=7),JulSun1+4, "")</f>
        <v>46205</v>
      </c>
      <c r="G27" s="40">
        <f>IF(AND(YEAR(JulSun1+5)=Year,MONTH(JulSun1+5)=7),JulSun1+5, "")</f>
        <v>46206</v>
      </c>
      <c r="H27" s="21">
        <f>IF(AND(YEAR(JulSun1+6)=Year,MONTH(JulSun1+6)=7),JulSun1+6, "")</f>
        <v>46207</v>
      </c>
      <c r="I27" s="20"/>
      <c r="J27" s="21" t="str">
        <f>IF(AND(YEAR(AugSun1)=Year,MONTH(AugSun1)=8),AugSun1, "")</f>
        <v/>
      </c>
      <c r="K27" s="21" t="str">
        <f>IF(AND(YEAR(AugSun1+1)=Year,MONTH(AugSun1+1)=8),AugSun1+1, "")</f>
        <v/>
      </c>
      <c r="L27" s="21" t="str">
        <f>IF(AND(YEAR(AugSun1+2)=Year,MONTH(AugSun1+2)=8),AugSun1+2, "")</f>
        <v/>
      </c>
      <c r="M27" s="21" t="str">
        <f>IF(AND(YEAR(AugSun1+3)=Year,MONTH(AugSun1+3)=8),AugSun1+3, "")</f>
        <v/>
      </c>
      <c r="N27" s="21" t="str">
        <f>IF(AND(YEAR(AugSun1+4)=Year,MONTH(AugSun1+4)=8),AugSun1+4, "")</f>
        <v/>
      </c>
      <c r="O27" s="21" t="str">
        <f>IF(AND(YEAR(AugSun1+5)=Year,MONTH(AugSun1+5)=8),AugSun1+5, "")</f>
        <v/>
      </c>
      <c r="P27" s="22">
        <f>IF(AND(YEAR(AugSun1+6)=Year,MONTH(AugSun1+6)=8),AugSun1+6, "")</f>
        <v>46235</v>
      </c>
      <c r="Q27" s="20"/>
      <c r="R27" s="21" t="str">
        <f>IF(AND(YEAR(SepSun1)=Year,MONTH(SepSun1)=9),SepSun1, "")</f>
        <v/>
      </c>
      <c r="S27" s="21" t="str">
        <f>IF(AND(YEAR(SepSun1+1)=Year,MONTH(SepSun1+1)=9),SepSun1+1, "")</f>
        <v/>
      </c>
      <c r="T27" s="31">
        <f>IF(AND(YEAR(SepSun1+2)=Year,MONTH(SepSun1+2)=9),SepSun1+2, "")</f>
        <v>46266</v>
      </c>
      <c r="U27" s="21">
        <f>IF(AND(YEAR(SepSun1+3)=Year,MONTH(SepSun1+3)=9),SepSun1+3, "")</f>
        <v>46267</v>
      </c>
      <c r="V27" s="21">
        <f>IF(AND(YEAR(SepSun1+4)=Year,MONTH(SepSun1+4)=9),SepSun1+4, "")</f>
        <v>46268</v>
      </c>
      <c r="W27" s="21">
        <f>IF(AND(YEAR(SepSun1+5)=Year,MONTH(SepSun1+5)=9),SepSun1+5, "")</f>
        <v>46269</v>
      </c>
      <c r="X27" s="22">
        <f>IF(AND(YEAR(SepSun1+6)=Year,MONTH(SepSun1+6)=9),SepSun1+6, "")</f>
        <v>46270</v>
      </c>
      <c r="Y27" s="20"/>
    </row>
    <row r="28" spans="1:31" s="23" customFormat="1" ht="25.05" customHeight="1" x14ac:dyDescent="0.35">
      <c r="A28" s="52"/>
      <c r="B28" s="27">
        <f>IF(AND(YEAR(JulSun1+7)=Year,MONTH(JulSun1+7)=7),JulSun1+7, "")</f>
        <v>46208</v>
      </c>
      <c r="C28" s="36">
        <f>IF(AND(YEAR(JulSun1+8)=Year,MONTH(JulSun1+8)=7),JulSun1+8, "")</f>
        <v>46209</v>
      </c>
      <c r="D28" s="48">
        <f>IF(AND(YEAR(JulSun1+9)=Year,MONTH(JulSun1+9)=7),JulSun1+9, "")</f>
        <v>46210</v>
      </c>
      <c r="E28" s="27">
        <f>IF(AND(YEAR(JulSun1+10)=Year,MONTH(JulSun1+10)=7),JulSun1+10, "")</f>
        <v>46211</v>
      </c>
      <c r="F28" s="27">
        <f>IF(AND(YEAR(JulSun1+11)=Year,MONTH(JulSun1+11)=7),JulSun1+11, "")</f>
        <v>46212</v>
      </c>
      <c r="G28" s="27">
        <f>IF(AND(YEAR(JulSun1+12)=Year,MONTH(JulSun1+12)=7),JulSun1+12, "")</f>
        <v>46213</v>
      </c>
      <c r="H28" s="39">
        <f>IF(AND(YEAR(JulSun1+13)=Year,MONTH(JulSun1+13)=7),JulSun1+13, "")</f>
        <v>46214</v>
      </c>
      <c r="I28" s="20"/>
      <c r="J28" s="21">
        <f>IF(AND(YEAR(AugSun1+7)=Year,MONTH(AugSun1+7)=8),AugSun1+7, "")</f>
        <v>46236</v>
      </c>
      <c r="K28" s="36">
        <f>IF(AND(YEAR(AugSun1+8)=Year,MONTH(AugSun1+8)=8),AugSun1+8, "")</f>
        <v>46237</v>
      </c>
      <c r="L28" s="27">
        <f>IF(AND(YEAR(AugSun1+9)=Year,MONTH(AugSun1+9)=8),AugSun1+9, "")</f>
        <v>46238</v>
      </c>
      <c r="M28" s="27">
        <f>IF(AND(YEAR(AugSun1+10)=Year,MONTH(AugSun1+10)=8),AugSun1+10, "")</f>
        <v>46239</v>
      </c>
      <c r="N28" s="27">
        <f>IF(AND(YEAR(AugSun1+11)=Year,MONTH(AugSun1+11)=8),AugSun1+11, "")</f>
        <v>46240</v>
      </c>
      <c r="O28" s="27">
        <f>IF(AND(YEAR(AugSun1+12)=Year,MONTH(AugSun1+12)=8),AugSun1+12, "")</f>
        <v>46241</v>
      </c>
      <c r="P28" s="49">
        <f>IF(AND(YEAR(AugSun1+13)=Year,MONTH(AugSun1+13)=8),AugSun1+13, "")</f>
        <v>46242</v>
      </c>
      <c r="Q28" s="20"/>
      <c r="R28" s="27">
        <f>IF(AND(YEAR(SepSun1+7)=Year,MONTH(SepSun1+7)=9),SepSun1+7, "")</f>
        <v>46271</v>
      </c>
      <c r="S28" s="30">
        <f>IF(AND(YEAR(SepSun1+8)=Year,MONTH(SepSun1+8)=9),SepSun1+8, "")</f>
        <v>46272</v>
      </c>
      <c r="T28" s="27">
        <f>IF(AND(YEAR(SepSun1+9)=Year,MONTH(SepSun1+9)=9),SepSun1+9, "")</f>
        <v>46273</v>
      </c>
      <c r="U28" s="27">
        <f>IF(AND(YEAR(SepSun1+10)=Year,MONTH(SepSun1+10)=9),SepSun1+10, "")</f>
        <v>46274</v>
      </c>
      <c r="V28" s="27">
        <f>IF(AND(YEAR(SepSun1+11)=Year,MONTH(SepSun1+11)=9),SepSun1+11, "")</f>
        <v>46275</v>
      </c>
      <c r="W28" s="27">
        <f>IF(AND(YEAR(SepSun1+12)=Year,MONTH(SepSun1+12)=9),SepSun1+12, "")</f>
        <v>46276</v>
      </c>
      <c r="X28" s="27">
        <f>IF(AND(YEAR(SepSun1+13)=Year,MONTH(SepSun1+13)=9),SepSun1+13, "")</f>
        <v>46277</v>
      </c>
      <c r="Y28" s="20"/>
    </row>
    <row r="29" spans="1:31" s="23" customFormat="1" ht="25.05" customHeight="1" x14ac:dyDescent="0.35">
      <c r="A29" s="52"/>
      <c r="B29" s="28">
        <f>IF(AND(YEAR(JulSun1+14)=Year,MONTH(JulSun1+14)=7),JulSun1+14, "")</f>
        <v>46215</v>
      </c>
      <c r="C29" s="36">
        <f>IF(AND(YEAR(JulSun1+15)=Year,MONTH(JulSun1+15)=7),JulSun1+15, "")</f>
        <v>46216</v>
      </c>
      <c r="D29" s="27">
        <f>IF(AND(YEAR(JulSun1+16)=Year,MONTH(JulSun1+16)=7),JulSun1+16, "")</f>
        <v>46217</v>
      </c>
      <c r="E29" s="27">
        <f>IF(AND(YEAR(JulSun1+17)=Year,MONTH(JulSun1+17)=7),JulSun1+17, "")</f>
        <v>46218</v>
      </c>
      <c r="F29" s="27">
        <f>IF(AND(YEAR(JulSun1+18)=Year,MONTH(JulSun1+18)=7),JulSun1+18, "")</f>
        <v>46219</v>
      </c>
      <c r="G29" s="27">
        <f>IF(AND(YEAR(JulSun1+19)=Year,MONTH(JulSun1+19)=7),JulSun1+19, "")</f>
        <v>46220</v>
      </c>
      <c r="H29" s="27">
        <f>IF(AND(YEAR(JulSun1+20)=Year,MONTH(JulSun1+20)=7),JulSun1+20, "")</f>
        <v>46221</v>
      </c>
      <c r="I29" s="20"/>
      <c r="J29" s="28">
        <f>IF(AND(YEAR(AugSun1+14)=Year,MONTH(AugSun1+14)=8),AugSun1+14, "")</f>
        <v>46243</v>
      </c>
      <c r="K29" s="36">
        <f>IF(AND(YEAR(AugSun1+15)=Year,MONTH(AugSun1+15)=8),AugSun1+15, "")</f>
        <v>46244</v>
      </c>
      <c r="L29" s="27">
        <f>IF(AND(YEAR(AugSun1+16)=Year,MONTH(AugSun1+16)=8),AugSun1+16, "")</f>
        <v>46245</v>
      </c>
      <c r="M29" s="27">
        <f>IF(AND(YEAR(AugSun1+17)=Year,MONTH(AugSun1+17)=8),AugSun1+17, "")</f>
        <v>46246</v>
      </c>
      <c r="N29" s="27">
        <f>IF(AND(YEAR(AugSun1+18)=Year,MONTH(AugSun1+18)=8),AugSun1+18, "")</f>
        <v>46247</v>
      </c>
      <c r="O29" s="27">
        <f>IF(AND(YEAR(AugSun1+19)=Year,MONTH(AugSun1+19)=8),AugSun1+19, "")</f>
        <v>46248</v>
      </c>
      <c r="P29" s="27">
        <f>IF(AND(YEAR(AugSun1+20)=Year,MONTH(AugSun1+20)=8),AugSun1+20, "")</f>
        <v>46249</v>
      </c>
      <c r="Q29" s="20"/>
      <c r="R29" s="28">
        <f>IF(AND(YEAR(SepSun1+14)=Year,MONTH(SepSun1+14)=9),SepSun1+14, "")</f>
        <v>46278</v>
      </c>
      <c r="S29" s="27">
        <f>IF(AND(YEAR(SepSun1+15)=Year,MONTH(SepSun1+15)=9),SepSun1+15, "")</f>
        <v>46279</v>
      </c>
      <c r="T29" s="27">
        <f>IF(AND(YEAR(SepSun1+16)=Year,MONTH(SepSun1+16)=9),SepSun1+16, "")</f>
        <v>46280</v>
      </c>
      <c r="U29" s="27">
        <f>IF(AND(YEAR(SepSun1+17)=Year,MONTH(SepSun1+17)=9),SepSun1+17, "")</f>
        <v>46281</v>
      </c>
      <c r="V29" s="27">
        <f>IF(AND(YEAR(SepSun1+18)=Year,MONTH(SepSun1+18)=9),SepSun1+18, "")</f>
        <v>46282</v>
      </c>
      <c r="W29" s="27">
        <f>IF(AND(YEAR(SepSun1+19)=Year,MONTH(SepSun1+19)=9),SepSun1+19, "")</f>
        <v>46283</v>
      </c>
      <c r="X29" s="27">
        <f>IF(AND(YEAR(SepSun1+20)=Year,MONTH(SepSun1+20)=9),SepSun1+20, "")</f>
        <v>46284</v>
      </c>
      <c r="Y29" s="20"/>
    </row>
    <row r="30" spans="1:31" s="23" customFormat="1" ht="25.05" customHeight="1" x14ac:dyDescent="0.35">
      <c r="A30" s="52"/>
      <c r="B30" s="27">
        <f>IF(AND(YEAR(JulSun1+21)=Year,MONTH(JulSun1+21)=7),JulSun1+21, "")</f>
        <v>46222</v>
      </c>
      <c r="C30" s="36">
        <f>IF(AND(YEAR(JulSun1+22)=Year,MONTH(JulSun1+22)=7),JulSun1+22, "")</f>
        <v>46223</v>
      </c>
      <c r="D30" s="27">
        <f>IF(AND(YEAR(JulSun1+23)=Year,MONTH(JulSun1+23)=7),JulSun1+23, "")</f>
        <v>46224</v>
      </c>
      <c r="E30" s="27">
        <f>IF(AND(YEAR(JulSun1+24)=Year,MONTH(JulSun1+24)=7),JulSun1+24, "")</f>
        <v>46225</v>
      </c>
      <c r="F30" s="27">
        <f>IF(AND(YEAR(JulSun1+25)=Year,MONTH(JulSun1+25)=7),JulSun1+25, "")</f>
        <v>46226</v>
      </c>
      <c r="G30" s="27">
        <f>IF(AND(YEAR(JulSun1+26)=Year,MONTH(JulSun1+26)=7),JulSun1+26, "")</f>
        <v>46227</v>
      </c>
      <c r="H30" s="27">
        <f>IF(AND(YEAR(JulSun1+27)=Year,MONTH(JulSun1+27)=7),JulSun1+27, "")</f>
        <v>46228</v>
      </c>
      <c r="I30" s="20"/>
      <c r="J30" s="27">
        <f>IF(AND(YEAR(AugSun1+21)=Year,MONTH(AugSun1+21)=8),AugSun1+21, "")</f>
        <v>46250</v>
      </c>
      <c r="K30" s="27">
        <f>IF(AND(YEAR(AugSun1+22)=Year,MONTH(AugSun1+22)=8),AugSun1+22, "")</f>
        <v>46251</v>
      </c>
      <c r="L30" s="27">
        <f>IF(AND(YEAR(AugSun1+23)=Year,MONTH(AugSun1+23)=8),AugSun1+23, "")</f>
        <v>46252</v>
      </c>
      <c r="M30" s="27">
        <f>IF(AND(YEAR(AugSun1+24)=Year,MONTH(AugSun1+24)=8),AugSun1+24, "")</f>
        <v>46253</v>
      </c>
      <c r="N30" s="27">
        <f>IF(AND(YEAR(AugSun1+25)=Year,MONTH(AugSun1+25)=8),AugSun1+25, "")</f>
        <v>46254</v>
      </c>
      <c r="O30" s="27">
        <f>IF(AND(YEAR(AugSun1+26)=Year,MONTH(AugSun1+26)=8),AugSun1+26, "")</f>
        <v>46255</v>
      </c>
      <c r="P30" s="27">
        <f>IF(AND(YEAR(AugSun1+27)=Year,MONTH(AugSun1+27)=8),AugSun1+27, "")</f>
        <v>46256</v>
      </c>
      <c r="Q30" s="20"/>
      <c r="R30" s="27">
        <f>IF(AND(YEAR(SepSun1+21)=Year,MONTH(SepSun1+21)=9),SepSun1+21, "")</f>
        <v>46285</v>
      </c>
      <c r="S30" s="27">
        <f>IF(AND(YEAR(SepSun1+22)=Year,MONTH(SepSun1+22)=9),SepSun1+22, "")</f>
        <v>46286</v>
      </c>
      <c r="T30" s="27">
        <f>IF(AND(YEAR(SepSun1+23)=Year,MONTH(SepSun1+23)=9),SepSun1+23, "")</f>
        <v>46287</v>
      </c>
      <c r="U30" s="27">
        <f>IF(AND(YEAR(SepSun1+24)=Year,MONTH(SepSun1+24)=9),SepSun1+24, "")</f>
        <v>46288</v>
      </c>
      <c r="V30" s="27">
        <f>IF(AND(YEAR(SepSun1+25)=Year,MONTH(SepSun1+25)=9),SepSun1+25, "")</f>
        <v>46289</v>
      </c>
      <c r="W30" s="27">
        <f>IF(AND(YEAR(SepSun1+26)=Year,MONTH(SepSun1+26)=9),SepSun1+26, "")</f>
        <v>46290</v>
      </c>
      <c r="X30" s="27">
        <f>IF(AND(YEAR(SepSun1+27)=Year,MONTH(SepSun1+27)=9),SepSun1+27, "")</f>
        <v>46291</v>
      </c>
      <c r="Y30" s="20"/>
      <c r="AE30" s="23" t="s">
        <v>29</v>
      </c>
    </row>
    <row r="31" spans="1:31" s="23" customFormat="1" ht="25.05" customHeight="1" x14ac:dyDescent="0.35">
      <c r="A31" s="52"/>
      <c r="B31" s="27">
        <f>IF(AND(YEAR(JulSun1+28)=Year,MONTH(JulSun1+28)=7),JulSun1+28, "")</f>
        <v>46229</v>
      </c>
      <c r="C31" s="36">
        <f>IF(AND(YEAR(JulSun1+29)=Year,MONTH(JulSun1+29)=7),JulSun1+29, "")</f>
        <v>46230</v>
      </c>
      <c r="D31" s="31">
        <f>IF(AND(YEAR(JulSun1+30)=Year,MONTH(JulSun1+30)=7),JulSun1+30, "")</f>
        <v>46231</v>
      </c>
      <c r="E31" s="27">
        <f>IF(AND(YEAR(JulSun1+31)=Year,MONTH(JulSun1+31)=7),JulSun1+31, "")</f>
        <v>46232</v>
      </c>
      <c r="F31" s="27">
        <f>IF(AND(YEAR(JulSun1+32)=Year,MONTH(JulSun1+32)=7),JulSun1+32, "")</f>
        <v>46233</v>
      </c>
      <c r="G31" s="27">
        <f>IF(AND(YEAR(JulSun1+33)=Year,MONTH(JulSun1+33)=7),JulSun1+33, "")</f>
        <v>46234</v>
      </c>
      <c r="H31" s="27" t="str">
        <f>IF(AND(YEAR(JulSun1+34)=Year,MONTH(JulSun1+34)=7),JulSun1+34, "")</f>
        <v/>
      </c>
      <c r="I31" s="20"/>
      <c r="J31" s="27">
        <f>IF(AND(YEAR(AugSun1+28)=Year,MONTH(AugSun1+28)=8),AugSun1+28, "")</f>
        <v>46257</v>
      </c>
      <c r="K31" s="27">
        <f>IF(AND(YEAR(AugSun1+29)=Year,MONTH(AugSun1+29)=8),AugSun1+29, "")</f>
        <v>46258</v>
      </c>
      <c r="L31" s="27">
        <f>IF(AND(YEAR(AugSun1+30)=Year,MONTH(AugSun1+30)=8),AugSun1+30, "")</f>
        <v>46259</v>
      </c>
      <c r="M31" s="27">
        <f>IF(AND(YEAR(AugSun1+31)=Year,MONTH(AugSun1+31)=8),AugSun1+31, "")</f>
        <v>46260</v>
      </c>
      <c r="N31" s="27">
        <f>IF(AND(YEAR(AugSun1+32)=Year,MONTH(AugSun1+32)=8),AugSun1+32, "")</f>
        <v>46261</v>
      </c>
      <c r="O31" s="27">
        <f>IF(AND(YEAR(AugSun1+33)=Year,MONTH(AugSun1+33)=8),AugSun1+33, "")</f>
        <v>46262</v>
      </c>
      <c r="P31" s="27">
        <f>IF(AND(YEAR(AugSun1+34)=Year,MONTH(AugSun1+34)=8),AugSun1+34, "")</f>
        <v>46263</v>
      </c>
      <c r="Q31" s="20"/>
      <c r="R31" s="27">
        <f>IF(AND(YEAR(SepSun1+28)=Year,MONTH(SepSun1+28)=9),SepSun1+28, "")</f>
        <v>46292</v>
      </c>
      <c r="S31" s="27">
        <f>IF(AND(YEAR(SepSun1+29)=Year,MONTH(SepSun1+29)=9),SepSun1+29, "")</f>
        <v>46293</v>
      </c>
      <c r="T31" s="31">
        <f>IF(AND(YEAR(SepSun1+30)=Year,MONTH(SepSun1+30)=9),SepSun1+30, "")</f>
        <v>46294</v>
      </c>
      <c r="U31" s="27">
        <f>IF(AND(YEAR(SepSun1+31)=Year,MONTH(SepSun1+31)=9),SepSun1+31, "")</f>
        <v>46295</v>
      </c>
      <c r="V31" s="27" t="str">
        <f>IF(AND(YEAR(SepSun1+32)=Year,MONTH(SepSun1+32)=9),SepSun1+32, "")</f>
        <v/>
      </c>
      <c r="W31" s="27" t="str">
        <f>IF(AND(YEAR(SepSun1+33)=Year,MONTH(SepSun1+33)=9),SepSun1+33, "")</f>
        <v/>
      </c>
      <c r="X31" s="27" t="str">
        <f>IF(AND(YEAR(SepSun1+34)=Year,MONTH(SepSun1+34)=9),SepSun1+34, "")</f>
        <v/>
      </c>
      <c r="Y31" s="20"/>
    </row>
    <row r="32" spans="1:31" s="23" customFormat="1" ht="25.05" customHeight="1" x14ac:dyDescent="0.35">
      <c r="A32" s="52"/>
      <c r="B32" s="41" t="str">
        <f>IF(AND(YEAR(JulSun1+35)=Year,MONTH(JulSun1+35)=7),JulSun1+35, "")</f>
        <v/>
      </c>
      <c r="C32" s="41" t="str">
        <f>IF(AND(YEAR(JulSun1+36)=Year,MONTH(JulSun1+36)=7),JulSun1+36, "")</f>
        <v/>
      </c>
      <c r="D32" s="41" t="str">
        <f>IF(AND(YEAR(JulSun1+37)=Year,MONTH(JulSun1+37)=7),JulSun1+37, "")</f>
        <v/>
      </c>
      <c r="E32" s="41" t="str">
        <f>IF(AND(YEAR(JulSun1+38)=Year,MONTH(JulSun1+38)=7),JulSun1+38, "")</f>
        <v/>
      </c>
      <c r="F32" s="41" t="str">
        <f>IF(AND(YEAR(JulSun1+39)=Year,MONTH(JulSun1+39)=7),JulSun1+39, "")</f>
        <v/>
      </c>
      <c r="G32" s="41" t="str">
        <f>IF(AND(YEAR(JulSun1+40)=Year,MONTH(JulSun1+40)=7),JulSun1+40, "")</f>
        <v/>
      </c>
      <c r="H32" s="41" t="str">
        <f>IF(AND(YEAR(JulSun1+41)=Year,MONTH(JulSun1+41)=7),JulSun1+41, "")</f>
        <v/>
      </c>
      <c r="I32" s="20"/>
      <c r="J32" s="41">
        <f>IF(AND(YEAR(AugSun1+35)=Year,MONTH(AugSun1+35)=8),AugSun1+35, "")</f>
        <v>46264</v>
      </c>
      <c r="K32" s="41">
        <f>IF(AND(YEAR(AugSun1+36)=Year,MONTH(AugSun1+36)=8),AugSun1+36, "")</f>
        <v>46265</v>
      </c>
      <c r="L32" s="41" t="str">
        <f>IF(AND(YEAR(AugSun1+37)=Year,MONTH(AugSun1+37)=8),AugSun1+37, "")</f>
        <v/>
      </c>
      <c r="M32" s="41" t="str">
        <f>IF(AND(YEAR(AugSun1+38)=Year,MONTH(AugSun1+38)=8),AugSun1+38, "")</f>
        <v/>
      </c>
      <c r="N32" s="41" t="str">
        <f>IF(AND(YEAR(AugSun1+39)=Year,MONTH(AugSun1+39)=8),AugSun1+39, "")</f>
        <v/>
      </c>
      <c r="O32" s="41" t="str">
        <f>IF(AND(YEAR(AugSun1+40)=Year,MONTH(AugSun1+40)=8),AugSun1+40, "")</f>
        <v/>
      </c>
      <c r="P32" s="41" t="str">
        <f>IF(AND(YEAR(AugSun1+41)=Year,MONTH(AugSun1+41)=8),AugSun1+41, "")</f>
        <v/>
      </c>
      <c r="Q32" s="20"/>
      <c r="R32" s="41" t="str">
        <f>IF(AND(YEAR(SepSun1+35)=Year,MONTH(SepSun1+35)=9),SepSun1+35, "")</f>
        <v/>
      </c>
      <c r="S32" s="41" t="str">
        <f>IF(AND(YEAR(SepSun1+36)=Year,MONTH(SepSun1+36)=9),SepSun1+36, "")</f>
        <v/>
      </c>
      <c r="T32" s="41" t="str">
        <f>IF(AND(YEAR(SepSun1+37)=Year,MONTH(SepSun1+37)=9),SepSun1+37, "")</f>
        <v/>
      </c>
      <c r="U32" s="41" t="str">
        <f>IF(AND(YEAR(SepSun1+38)=Year,MONTH(SepSun1+38)=9),SepSun1+38, "")</f>
        <v/>
      </c>
      <c r="V32" s="41" t="str">
        <f>IF(AND(YEAR(SepSun1+39)=Year,MONTH(SepSun1+39)=9),SepSun1+39, "")</f>
        <v/>
      </c>
      <c r="W32" s="41" t="str">
        <f>IF(AND(YEAR(SepSun1+40)=Year,MONTH(SepSun1+40)=9),SepSun1+40, "")</f>
        <v/>
      </c>
      <c r="X32" s="41" t="str">
        <f>IF(AND(YEAR(SepSun1+41)=Year,MONTH(SepSun1+41)=9),SepSun1+41, "")</f>
        <v/>
      </c>
      <c r="Y32" s="20"/>
    </row>
    <row r="33" spans="1:25" s="23" customFormat="1" ht="18" customHeight="1" x14ac:dyDescent="0.35">
      <c r="A33" s="52"/>
      <c r="B33" s="42"/>
      <c r="C33" s="42"/>
      <c r="D33" s="42"/>
      <c r="E33" s="42"/>
      <c r="F33" s="42"/>
      <c r="G33" s="42"/>
      <c r="H33" s="42"/>
      <c r="I33" s="20"/>
      <c r="J33" s="20"/>
      <c r="K33" s="20"/>
      <c r="L33" s="20"/>
      <c r="M33" s="20"/>
      <c r="N33" s="20"/>
      <c r="O33" s="20"/>
      <c r="P33" s="20"/>
      <c r="Q33" s="20"/>
      <c r="R33" s="42"/>
      <c r="S33" s="42"/>
      <c r="T33" s="42"/>
      <c r="U33" s="42"/>
      <c r="V33" s="42"/>
      <c r="W33" s="42"/>
      <c r="X33" s="42"/>
      <c r="Y33" s="20"/>
    </row>
    <row r="34" spans="1:25" s="32" customFormat="1" ht="34.950000000000003" customHeight="1" x14ac:dyDescent="0.35">
      <c r="A34" s="57"/>
      <c r="B34" s="58" t="s">
        <v>8</v>
      </c>
      <c r="C34" s="58"/>
      <c r="D34" s="58"/>
      <c r="E34" s="58"/>
      <c r="F34" s="58"/>
      <c r="G34" s="58"/>
      <c r="H34" s="58"/>
      <c r="I34" s="20"/>
      <c r="J34" s="58" t="s">
        <v>10</v>
      </c>
      <c r="K34" s="58"/>
      <c r="L34" s="58"/>
      <c r="M34" s="58"/>
      <c r="N34" s="58"/>
      <c r="O34" s="58"/>
      <c r="P34" s="58"/>
      <c r="Q34" s="20"/>
      <c r="R34" s="58" t="s">
        <v>11</v>
      </c>
      <c r="S34" s="58"/>
      <c r="T34" s="58"/>
      <c r="U34" s="58"/>
      <c r="V34" s="58"/>
      <c r="W34" s="58"/>
      <c r="X34" s="58"/>
      <c r="Y34" s="20"/>
    </row>
    <row r="35" spans="1:25" s="32" customFormat="1" ht="25.05" customHeight="1" x14ac:dyDescent="0.35">
      <c r="A35" s="57"/>
      <c r="B35" s="12" t="s">
        <v>12</v>
      </c>
      <c r="C35" s="12" t="s">
        <v>13</v>
      </c>
      <c r="D35" s="12" t="s">
        <v>14</v>
      </c>
      <c r="E35" s="12" t="s">
        <v>15</v>
      </c>
      <c r="F35" s="12" t="s">
        <v>16</v>
      </c>
      <c r="G35" s="12" t="s">
        <v>17</v>
      </c>
      <c r="H35" s="12" t="s">
        <v>18</v>
      </c>
      <c r="I35" s="20"/>
      <c r="J35" s="12" t="s">
        <v>12</v>
      </c>
      <c r="K35" s="12" t="s">
        <v>13</v>
      </c>
      <c r="L35" s="12" t="s">
        <v>14</v>
      </c>
      <c r="M35" s="12" t="s">
        <v>15</v>
      </c>
      <c r="N35" s="12" t="s">
        <v>16</v>
      </c>
      <c r="O35" s="12" t="s">
        <v>17</v>
      </c>
      <c r="P35" s="12" t="s">
        <v>18</v>
      </c>
      <c r="Q35" s="20"/>
      <c r="R35" s="12" t="s">
        <v>12</v>
      </c>
      <c r="S35" s="12" t="s">
        <v>13</v>
      </c>
      <c r="T35" s="12" t="s">
        <v>14</v>
      </c>
      <c r="U35" s="12" t="s">
        <v>15</v>
      </c>
      <c r="V35" s="12" t="s">
        <v>16</v>
      </c>
      <c r="W35" s="12" t="s">
        <v>17</v>
      </c>
      <c r="X35" s="12" t="s">
        <v>18</v>
      </c>
      <c r="Y35" s="20"/>
    </row>
    <row r="36" spans="1:25" s="23" customFormat="1" ht="25.05" customHeight="1" x14ac:dyDescent="0.35">
      <c r="A36" s="57"/>
      <c r="B36" s="21" t="str">
        <f>IF(AND(YEAR(OctSun1)=Year,MONTH(OctSun1)=10),OctSun1, "")</f>
        <v/>
      </c>
      <c r="C36" s="21" t="str">
        <f>IF(AND(YEAR(OctSun1+1)=Year,MONTH(OctSun1+1)=10),OctSun1+1, "")</f>
        <v/>
      </c>
      <c r="D36" s="21" t="str">
        <f>IF(AND(YEAR(OctSun1+2)=Year,MONTH(OctSun1+2)=10),OctSun1+2, "")</f>
        <v/>
      </c>
      <c r="E36" s="21" t="str">
        <f>IF(AND(YEAR(OctSun1+3)=Year,MONTH(OctSun1+3)=10),OctSun1+3, "")</f>
        <v/>
      </c>
      <c r="F36" s="21">
        <f>IF(AND(YEAR(OctSun1+4)=Year,MONTH(OctSun1+4)=10),OctSun1+4, "")</f>
        <v>46296</v>
      </c>
      <c r="G36" s="21">
        <f>IF(AND(YEAR(OctSun1+5)=Year,MONTH(OctSun1+5)=10),OctSun1+5, "")</f>
        <v>46297</v>
      </c>
      <c r="H36" s="22">
        <f>IF(AND(YEAR(OctSun1+6)=Year,MONTH(OctSun1+6)=10),OctSun1+6, "")</f>
        <v>46298</v>
      </c>
      <c r="I36" s="20"/>
      <c r="J36" s="21">
        <f>IF(AND(YEAR(NovSun1)=Year,MONTH(NovSun1)=11),NovSun1, "")</f>
        <v>46327</v>
      </c>
      <c r="K36" s="21">
        <f>IF(AND(YEAR(NovSun1+1)=Year,MONTH(NovSun1+1)=11),NovSun1+1, "")</f>
        <v>46328</v>
      </c>
      <c r="L36" s="47">
        <f>IF(AND(YEAR(NovSun1+2)=Year,MONTH(NovSun1+2)=11),NovSun1+2, "")</f>
        <v>46329</v>
      </c>
      <c r="M36" s="21">
        <f>IF(AND(YEAR(NovSun1+3)=Year,MONTH(NovSun1+3)=11),NovSun1+3, "")</f>
        <v>46330</v>
      </c>
      <c r="N36" s="21">
        <f>IF(AND(YEAR(NovSun1+4)=Year,MONTH(NovSun1+4)=11),NovSun1+4, "")</f>
        <v>46331</v>
      </c>
      <c r="O36" s="21">
        <f>IF(AND(YEAR(NovSun1+5)=Year,MONTH(NovSun1+5)=11),NovSun1+5, "")</f>
        <v>46332</v>
      </c>
      <c r="P36" s="22">
        <f>IF(AND(YEAR(NovSun1+6)=Year,MONTH(NovSun1+6)=11),NovSun1+6, "")</f>
        <v>46333</v>
      </c>
      <c r="Q36" s="20"/>
      <c r="R36" s="21" t="str">
        <f>IF(AND(YEAR(DecSun1)=Year,MONTH(DecSun1)=12),DecSun1, "")</f>
        <v/>
      </c>
      <c r="S36" s="21" t="str">
        <f>IF(AND(YEAR(DecSun1+1)=Year,MONTH(DecSun1+1)=12),DecSun1+1, "")</f>
        <v/>
      </c>
      <c r="T36" s="31">
        <f>IF(AND(YEAR(DecSun1+2)=Year,MONTH(DecSun1+2)=12),DecSun1+2, "")</f>
        <v>46357</v>
      </c>
      <c r="U36" s="21">
        <f>IF(AND(YEAR(DecSun1+3)=Year,MONTH(DecSun1+3)=12),DecSun1+3, "")</f>
        <v>46358</v>
      </c>
      <c r="V36" s="21">
        <f>IF(AND(YEAR(DecSun1+4)=Year,MONTH(DecSun1+4)=12),DecSun1+4, "")</f>
        <v>46359</v>
      </c>
      <c r="W36" s="21">
        <f>IF(AND(YEAR(DecSun1+5)=Year,MONTH(DecSun1+5)=12),DecSun1+5, "")</f>
        <v>46360</v>
      </c>
      <c r="X36" s="22">
        <f>IF(AND(YEAR(DecSun1+6)=Year,MONTH(DecSun1+6)=12),DecSun1+6, "")</f>
        <v>46361</v>
      </c>
      <c r="Y36" s="20"/>
    </row>
    <row r="37" spans="1:25" s="23" customFormat="1" ht="25.05" customHeight="1" x14ac:dyDescent="0.35">
      <c r="A37" s="57"/>
      <c r="B37" s="37">
        <f>IF(AND(YEAR(OctSun1+7)=Year,MONTH(OctSun1+7)=10),OctSun1+7, "")</f>
        <v>46299</v>
      </c>
      <c r="C37" s="27">
        <f>IF(AND(YEAR(OctSun1+8)=Year,MONTH(OctSun1+8)=10),OctSun1+8, "")</f>
        <v>46300</v>
      </c>
      <c r="D37" s="27">
        <f>IF(AND(YEAR(OctSun1+9)=Year,MONTH(OctSun1+9)=10),OctSun1+9, "")</f>
        <v>46301</v>
      </c>
      <c r="E37" s="27">
        <f>IF(AND(YEAR(OctSun1+10)=Year,MONTH(OctSun1+10)=10),OctSun1+10, "")</f>
        <v>46302</v>
      </c>
      <c r="F37" s="27">
        <f>IF(AND(YEAR(OctSun1+11)=Year,MONTH(OctSun1+11)=10),OctSun1+11, "")</f>
        <v>46303</v>
      </c>
      <c r="G37" s="27">
        <f>IF(AND(YEAR(OctSun1+12)=Year,MONTH(OctSun1+12)=10),OctSun1+12, "")</f>
        <v>46304</v>
      </c>
      <c r="H37" s="27">
        <f>IF(AND(YEAR(OctSun1+13)=Year,MONTH(OctSun1+13)=10),OctSun1+13, "")</f>
        <v>46305</v>
      </c>
      <c r="I37" s="20"/>
      <c r="J37" s="27">
        <f>IF(AND(YEAR(NovSun1+7)=Year,MONTH(NovSun1+7)=11),NovSun1+7, "")</f>
        <v>46334</v>
      </c>
      <c r="K37" s="27">
        <f>IF(AND(YEAR(NovSun1+8)=Year,MONTH(NovSun1+8)=11),NovSun1+8, "")</f>
        <v>46335</v>
      </c>
      <c r="L37" s="27">
        <f>IF(AND(YEAR(NovSun1+9)=Year,MONTH(NovSun1+9)=11),NovSun1+9, "")</f>
        <v>46336</v>
      </c>
      <c r="M37" s="30">
        <f>IF(AND(YEAR(NovSun1+10)=Year,MONTH(NovSun1+10)=11),NovSun1+10, "")</f>
        <v>46337</v>
      </c>
      <c r="N37" s="27">
        <f>IF(AND(YEAR(NovSun1+11)=Year,MONTH(NovSun1+11)=11),NovSun1+11, "")</f>
        <v>46338</v>
      </c>
      <c r="O37" s="27">
        <f>IF(AND(YEAR(NovSun1+12)=Year,MONTH(NovSun1+12)=11),NovSun1+12, "")</f>
        <v>46339</v>
      </c>
      <c r="P37" s="45">
        <f>IF(AND(YEAR(NovSun1+13)=Year,MONTH(NovSun1+13)=11),NovSun1+13, "")</f>
        <v>46340</v>
      </c>
      <c r="Q37" s="20"/>
      <c r="R37" s="27">
        <f>IF(AND(YEAR(DecSun1+7)=Year,MONTH(DecSun1+7)=12),DecSun1+7, "")</f>
        <v>46362</v>
      </c>
      <c r="S37" s="27">
        <f>IF(AND(YEAR(DecSun1+8)=Year,MONTH(DecSun1+8)=12),DecSun1+8, "")</f>
        <v>46363</v>
      </c>
      <c r="T37" s="27">
        <f>IF(AND(YEAR(DecSun1+9)=Year,MONTH(DecSun1+9)=12),DecSun1+9, "")</f>
        <v>46364</v>
      </c>
      <c r="U37" s="27">
        <f>IF(AND(YEAR(DecSun1+10)=Year,MONTH(DecSun1+10)=12),DecSun1+10, "")</f>
        <v>46365</v>
      </c>
      <c r="V37" s="27">
        <f>IF(AND(YEAR(DecSun1+11)=Year,MONTH(DecSun1+11)=12),DecSun1+11, "")</f>
        <v>46366</v>
      </c>
      <c r="W37" s="27">
        <f>IF(AND(YEAR(DecSun1+12)=Year,MONTH(DecSun1+12)=12),DecSun1+12, "")</f>
        <v>46367</v>
      </c>
      <c r="X37" s="27">
        <f>IF(AND(YEAR(DecSun1+13)=Year,MONTH(DecSun1+13)=12),DecSun1+13, "")</f>
        <v>46368</v>
      </c>
      <c r="Y37" s="20"/>
    </row>
    <row r="38" spans="1:25" s="23" customFormat="1" ht="25.05" customHeight="1" x14ac:dyDescent="0.35">
      <c r="A38" s="57"/>
      <c r="B38" s="28">
        <f>IF(AND(YEAR(OctSun1+14)=Year,MONTH(OctSun1+14)=10),OctSun1+14, "")</f>
        <v>46306</v>
      </c>
      <c r="C38" s="30">
        <f>IF(AND(YEAR(OctSun1+15)=Year,MONTH(OctSun1+15)=10),OctSun1+15, "")</f>
        <v>46307</v>
      </c>
      <c r="D38" s="27">
        <f>IF(AND(YEAR(OctSun1+16)=Year,MONTH(OctSun1+16)=10),OctSun1+16, "")</f>
        <v>46308</v>
      </c>
      <c r="E38" s="27">
        <f>IF(AND(YEAR(OctSun1+17)=Year,MONTH(OctSun1+17)=10),OctSun1+17, "")</f>
        <v>46309</v>
      </c>
      <c r="F38" s="27">
        <f>IF(AND(YEAR(OctSun1+18)=Year,MONTH(OctSun1+18)=10),OctSun1+18, "")</f>
        <v>46310</v>
      </c>
      <c r="G38" s="27">
        <f>IF(AND(YEAR(OctSun1+19)=Year,MONTH(OctSun1+19)=10),OctSun1+19, "")</f>
        <v>46311</v>
      </c>
      <c r="H38" s="27">
        <f>IF(AND(YEAR(OctSun1+20)=Year,MONTH(OctSun1+20)=10),OctSun1+20, "")</f>
        <v>46312</v>
      </c>
      <c r="I38" s="20"/>
      <c r="J38" s="27">
        <f>IF(AND(YEAR(NovSun1+14)=Year,MONTH(NovSun1+14)=11),NovSun1+14, "")</f>
        <v>46341</v>
      </c>
      <c r="K38" s="27">
        <f>IF(AND(YEAR(NovSun1+15)=Year,MONTH(NovSun1+15)=11),NovSun1+15, "")</f>
        <v>46342</v>
      </c>
      <c r="L38" s="27">
        <f>IF(AND(YEAR(NovSun1+16)=Year,MONTH(NovSun1+16)=11),NovSun1+16, "")</f>
        <v>46343</v>
      </c>
      <c r="M38" s="27">
        <f>IF(AND(YEAR(NovSun1+17)=Year,MONTH(NovSun1+17)=11),NovSun1+17, "")</f>
        <v>46344</v>
      </c>
      <c r="N38" s="27">
        <f>IF(AND(YEAR(NovSun1+18)=Year,MONTH(NovSun1+18)=11),NovSun1+18, "")</f>
        <v>46345</v>
      </c>
      <c r="O38" s="27">
        <f>IF(AND(YEAR(NovSun1+19)=Year,MONTH(NovSun1+19)=11),NovSun1+19, "")</f>
        <v>46346</v>
      </c>
      <c r="P38" s="27">
        <f>IF(AND(YEAR(NovSun1+20)=Year,MONTH(NovSun1+20)=11),NovSun1+20, "")</f>
        <v>46347</v>
      </c>
      <c r="Q38" s="20"/>
      <c r="R38" s="28">
        <f>IF(AND(YEAR(DecSun1+14)=Year,MONTH(DecSun1+14)=12),DecSun1+14, "")</f>
        <v>46369</v>
      </c>
      <c r="S38" s="27">
        <f>IF(AND(YEAR(DecSun1+15)=Year,MONTH(DecSun1+15)=12),DecSun1+15, "")</f>
        <v>46370</v>
      </c>
      <c r="T38" s="27">
        <f>IF(AND(YEAR(DecSun1+16)=Year,MONTH(DecSun1+16)=12),DecSun1+16, "")</f>
        <v>46371</v>
      </c>
      <c r="U38" s="27">
        <f>IF(AND(YEAR(DecSun1+17)=Year,MONTH(DecSun1+17)=12),DecSun1+17, "")</f>
        <v>46372</v>
      </c>
      <c r="V38" s="27">
        <f>IF(AND(YEAR(DecSun1+18)=Year,MONTH(DecSun1+18)=12),DecSun1+18, "")</f>
        <v>46373</v>
      </c>
      <c r="W38" s="27">
        <f>IF(AND(YEAR(DecSun1+19)=Year,MONTH(DecSun1+19)=12),DecSun1+19, "")</f>
        <v>46374</v>
      </c>
      <c r="X38" s="27">
        <f>IF(AND(YEAR(DecSun1+20)=Year,MONTH(DecSun1+20)=12),DecSun1+20, "")</f>
        <v>46375</v>
      </c>
      <c r="Y38" s="20"/>
    </row>
    <row r="39" spans="1:25" s="23" customFormat="1" ht="25.05" customHeight="1" x14ac:dyDescent="0.35">
      <c r="A39" s="57"/>
      <c r="B39" s="27">
        <f>IF(AND(YEAR(OctSun1+21)=Year,MONTH(OctSun1+21)=10),OctSun1+21, "")</f>
        <v>46313</v>
      </c>
      <c r="C39" s="27">
        <f>IF(AND(YEAR(OctSun1+22)=Year,MONTH(OctSun1+22)=10),OctSun1+22, "")</f>
        <v>46314</v>
      </c>
      <c r="D39" s="27">
        <f>IF(AND(YEAR(OctSun1+23)=Year,MONTH(OctSun1+23)=10),OctSun1+23, "")</f>
        <v>46315</v>
      </c>
      <c r="E39" s="27">
        <f>IF(AND(YEAR(OctSun1+24)=Year,MONTH(OctSun1+24)=10),OctSun1+24, "")</f>
        <v>46316</v>
      </c>
      <c r="F39" s="27">
        <f>IF(AND(YEAR(OctSun1+25)=Year,MONTH(OctSun1+25)=10),OctSun1+25, "")</f>
        <v>46317</v>
      </c>
      <c r="G39" s="27">
        <f>IF(AND(YEAR(OctSun1+26)=Year,MONTH(OctSun1+26)=10),OctSun1+26, "")</f>
        <v>46318</v>
      </c>
      <c r="H39" s="27">
        <f>IF(AND(YEAR(OctSun1+27)=Year,MONTH(OctSun1+27)=10),OctSun1+27, "")</f>
        <v>46319</v>
      </c>
      <c r="I39" s="20"/>
      <c r="J39" s="27">
        <f>IF(AND(YEAR(NovSun1+21)=Year,MONTH(NovSun1+21)=11),NovSun1+21, "")</f>
        <v>46348</v>
      </c>
      <c r="K39" s="27">
        <f>IF(AND(YEAR(NovSun1+22)=Year,MONTH(NovSun1+22)=11),NovSun1+22, "")</f>
        <v>46349</v>
      </c>
      <c r="L39" s="27">
        <f>IF(AND(YEAR(NovSun1+23)=Year,MONTH(NovSun1+23)=11),NovSun1+23, "")</f>
        <v>46350</v>
      </c>
      <c r="M39" s="27">
        <f>IF(AND(YEAR(NovSun1+24)=Year,MONTH(NovSun1+24)=11),NovSun1+24, "")</f>
        <v>46351</v>
      </c>
      <c r="N39" s="27">
        <f>IF(AND(YEAR(NovSun1+25)=Year,MONTH(NovSun1+25)=11),NovSun1+25, "")</f>
        <v>46352</v>
      </c>
      <c r="O39" s="27">
        <f>IF(AND(YEAR(NovSun1+26)=Year,MONTH(NovSun1+26)=11),NovSun1+26, "")</f>
        <v>46353</v>
      </c>
      <c r="P39" s="27">
        <f>IF(AND(YEAR(NovSun1+27)=Year,MONTH(NovSun1+27)=11),NovSun1+27, "")</f>
        <v>46354</v>
      </c>
      <c r="Q39" s="20"/>
      <c r="R39" s="27">
        <f>IF(AND(YEAR(DecSun1+21)=Year,MONTH(DecSun1+21)=12),DecSun1+21, "")</f>
        <v>46376</v>
      </c>
      <c r="S39" s="27">
        <f>IF(AND(YEAR(DecSun1+22)=Year,MONTH(DecSun1+22)=12),DecSun1+22, "")</f>
        <v>46377</v>
      </c>
      <c r="T39" s="27">
        <f>IF(AND(YEAR(DecSun1+23)=Year,MONTH(DecSun1+23)=12),DecSun1+23, "")</f>
        <v>46378</v>
      </c>
      <c r="U39" s="27">
        <f>IF(AND(YEAR(DecSun1+24)=Year,MONTH(DecSun1+24)=12),DecSun1+24, "")</f>
        <v>46379</v>
      </c>
      <c r="V39" s="30">
        <f>IF(AND(YEAR(DecSun1+25)=Year,MONTH(DecSun1+25)=12),DecSun1+25, "")</f>
        <v>46380</v>
      </c>
      <c r="W39" s="27">
        <f>IF(AND(YEAR(DecSun1+26)=Year,MONTH(DecSun1+26)=12),DecSun1+26, "")</f>
        <v>46381</v>
      </c>
      <c r="X39" s="27">
        <f>IF(AND(YEAR(DecSun1+27)=Year,MONTH(DecSun1+27)=12),DecSun1+27, "")</f>
        <v>46382</v>
      </c>
      <c r="Y39" s="20"/>
    </row>
    <row r="40" spans="1:25" s="23" customFormat="1" ht="25.05" customHeight="1" x14ac:dyDescent="0.35">
      <c r="A40" s="57"/>
      <c r="B40" s="27">
        <f>IF(AND(YEAR(OctSun1+28)=Year,MONTH(OctSun1+28)=10),OctSun1+28, "")</f>
        <v>46320</v>
      </c>
      <c r="C40" s="27">
        <f>IF(AND(YEAR(OctSun1+29)=Year,MONTH(OctSun1+29)=10),OctSun1+29, "")</f>
        <v>46321</v>
      </c>
      <c r="D40" s="27">
        <f>IF(AND(YEAR(OctSun1+30)=Year,MONTH(OctSun1+30)=10),OctSun1+30, "")</f>
        <v>46322</v>
      </c>
      <c r="E40" s="27">
        <f>IF(AND(YEAR(OctSun1+31)=Year,MONTH(OctSun1+31)=10),OctSun1+31, "")</f>
        <v>46323</v>
      </c>
      <c r="F40" s="27">
        <f>IF(AND(YEAR(OctSun1+32)=Year,MONTH(OctSun1+32)=10),OctSun1+32, "")</f>
        <v>46324</v>
      </c>
      <c r="G40" s="27">
        <f>IF(AND(YEAR(OctSun1+33)=Year,MONTH(OctSun1+33)=10),OctSun1+33, "")</f>
        <v>46325</v>
      </c>
      <c r="H40" s="27">
        <f>IF(AND(YEAR(OctSun1+34)=Year,MONTH(OctSun1+34)=10),OctSun1+34, "")</f>
        <v>46326</v>
      </c>
      <c r="I40" s="20"/>
      <c r="J40" s="27">
        <f>IF(AND(YEAR(NovSun1+28)=Year,MONTH(NovSun1+28)=11),NovSun1+28, "")</f>
        <v>46355</v>
      </c>
      <c r="K40" s="27">
        <f>IF(AND(YEAR(NovSun1+29)=Year,MONTH(NovSun1+29)=11),NovSun1+29, "")</f>
        <v>46356</v>
      </c>
      <c r="L40" s="27" t="str">
        <f>IF(AND(YEAR(NovSun1+30)=Year,MONTH(NovSun1+30)=11),NovSun1+30, "")</f>
        <v/>
      </c>
      <c r="M40" s="27" t="str">
        <f>IF(AND(YEAR(NovSun1+31)=Year,MONTH(NovSun1+31)=11),NovSun1+31, "")</f>
        <v/>
      </c>
      <c r="N40" s="27" t="str">
        <f>IF(AND(YEAR(NovSun1+32)=Year,MONTH(NovSun1+32)=11),NovSun1+32, "")</f>
        <v/>
      </c>
      <c r="O40" s="27" t="str">
        <f>IF(AND(YEAR(NovSun1+33)=Year,MONTH(NovSun1+33)=11),NovSun1+33, "")</f>
        <v/>
      </c>
      <c r="P40" s="27" t="str">
        <f>IF(AND(YEAR(NovSun1+34)=Year,MONTH(NovSun1+34)=11),NovSun1+34, "")</f>
        <v/>
      </c>
      <c r="Q40" s="20"/>
      <c r="R40" s="27">
        <f>IF(AND(YEAR(DecSun1+28)=Year,MONTH(DecSun1+28)=12),DecSun1+28, "")</f>
        <v>46383</v>
      </c>
      <c r="S40" s="27">
        <f>IF(AND(YEAR(DecSun1+29)=Year,MONTH(DecSun1+29)=12),DecSun1+29, "")</f>
        <v>46384</v>
      </c>
      <c r="T40" s="27">
        <f>IF(AND(YEAR(DecSun1+30)=Year,MONTH(DecSun1+30)=12),DecSun1+30, "")</f>
        <v>46385</v>
      </c>
      <c r="U40" s="27">
        <f>IF(AND(YEAR(DecSun1+31)=Year,MONTH(DecSun1+31)=12),DecSun1+31, "")</f>
        <v>46386</v>
      </c>
      <c r="V40" s="27">
        <f>IF(AND(YEAR(DecSun1+32)=Year,MONTH(DecSun1+32)=12),DecSun1+32, "")</f>
        <v>46387</v>
      </c>
      <c r="W40" s="27" t="str">
        <f>IF(AND(YEAR(DecSun1+33)=Year,MONTH(DecSun1+33)=12),DecSun1+33, "")</f>
        <v/>
      </c>
      <c r="X40" s="27" t="str">
        <f>IF(AND(YEAR(DecSun1+34)=Year,MONTH(DecSun1+34)=12),DecSun1+34, "")</f>
        <v/>
      </c>
      <c r="Y40" s="20"/>
    </row>
    <row r="41" spans="1:25" s="23" customFormat="1" ht="25.05" customHeight="1" x14ac:dyDescent="0.35">
      <c r="A41" s="57"/>
      <c r="B41" s="41" t="str">
        <f>IF(AND(YEAR(OctSun1+35)=Year,MONTH(OctSun1+35)=10),OctSun1+35, "")</f>
        <v/>
      </c>
      <c r="C41" s="41" t="str">
        <f>IF(AND(YEAR(OctSun1+36)=Year,MONTH(OctSun1+36)=10),OctSun1+36, "")</f>
        <v/>
      </c>
      <c r="D41" s="41" t="str">
        <f>IF(AND(YEAR(OctSun1+37)=Year,MONTH(OctSun1+37)=10),OctSun1+37, "")</f>
        <v/>
      </c>
      <c r="E41" s="41" t="str">
        <f>IF(AND(YEAR(OctSun1+38)=Year,MONTH(OctSun1+38)=10),OctSun1+38, "")</f>
        <v/>
      </c>
      <c r="F41" s="41" t="str">
        <f>IF(AND(YEAR(OctSun1+39)=Year,MONTH(OctSun1+39)=10),OctSun1+39, "")</f>
        <v/>
      </c>
      <c r="G41" s="41" t="str">
        <f>IF(AND(YEAR(OctSun1+40)=Year,MONTH(OctSun1+40)=10),OctSun1+40, "")</f>
        <v/>
      </c>
      <c r="H41" s="41" t="str">
        <f>IF(AND(YEAR(OctSun1+41)=Year,MONTH(OctSun1+41)=10),OctSun1+41, "")</f>
        <v/>
      </c>
      <c r="I41" s="20"/>
      <c r="J41" s="41" t="str">
        <f>IF(AND(YEAR(NovSun1+35)=Year,MONTH(NovSun1+35)=11),NovSun1+35, "")</f>
        <v/>
      </c>
      <c r="K41" s="41" t="str">
        <f>IF(AND(YEAR(NovSun1+36)=Year,MONTH(NovSun1+36)=11),NovSun1+36, "")</f>
        <v/>
      </c>
      <c r="L41" s="41" t="str">
        <f>IF(AND(YEAR(NovSun1+37)=Year,MONTH(NovSun1+37)=11),NovSun1+37, "")</f>
        <v/>
      </c>
      <c r="M41" s="41" t="str">
        <f>IF(AND(YEAR(NovSun1+38)=Year,MONTH(NovSun1+38)=11),NovSun1+38, "")</f>
        <v/>
      </c>
      <c r="N41" s="41" t="str">
        <f>IF(AND(YEAR(NovSun1+39)=Year,MONTH(NovSun1+39)=11),NovSun1+39, "")</f>
        <v/>
      </c>
      <c r="O41" s="41" t="str">
        <f>IF(AND(YEAR(NovSun1+40)=Year,MONTH(NovSun1+40)=11),NovSun1+40, "")</f>
        <v/>
      </c>
      <c r="P41" s="41" t="str">
        <f>IF(AND(YEAR(NovSun1+41)=Year,MONTH(NovSun1+41)=11),NovSun1+41, "")</f>
        <v/>
      </c>
      <c r="Q41" s="20"/>
      <c r="R41" s="41" t="str">
        <f>IF(AND(YEAR(DecSun1+35)=Year,MONTH(DecSun1+35)=12),DecSun1+35, "")</f>
        <v/>
      </c>
      <c r="S41" s="41" t="str">
        <f>IF(AND(YEAR(DecSun1+36)=Year,MONTH(DecSun1+36)=12),DecSun1+36, "")</f>
        <v/>
      </c>
      <c r="T41" s="41" t="str">
        <f>IF(AND(YEAR(DecSun1+37)=Year,MONTH(DecSun1+37)=12),DecSun1+37, "")</f>
        <v/>
      </c>
      <c r="U41" s="41" t="str">
        <f>IF(AND(YEAR(DecSun1+38)=Year,MONTH(DecSun1+38)=12),DecSun1+38, "")</f>
        <v/>
      </c>
      <c r="V41" s="41" t="str">
        <f>IF(AND(YEAR(DecSun1+39)=Year,MONTH(DecSun1+39)=12),DecSun1+39, "")</f>
        <v/>
      </c>
      <c r="W41" s="41" t="str">
        <f>IF(AND(YEAR(DecSun1+40)=Year,MONTH(DecSun1+40)=12),DecSun1+40, "")</f>
        <v/>
      </c>
      <c r="X41" s="41" t="str">
        <f>IF(AND(YEAR(DecSun1+41)=Year,MONTH(DecSun1+41)=12),DecSun1+41, "")</f>
        <v/>
      </c>
      <c r="Y41" s="20"/>
    </row>
    <row r="42" spans="1:25" s="23" customFormat="1" ht="18" customHeight="1" x14ac:dyDescent="0.35">
      <c r="A42" s="57"/>
      <c r="B42" s="50"/>
      <c r="C42" s="51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51"/>
      <c r="P42" s="51"/>
      <c r="Q42" s="51"/>
      <c r="R42" s="51"/>
      <c r="S42" s="51"/>
      <c r="T42" s="51"/>
      <c r="U42" s="51"/>
      <c r="V42" s="51"/>
      <c r="W42" s="51"/>
      <c r="X42" s="51"/>
      <c r="Y42" s="20"/>
    </row>
    <row r="43" spans="1:25" s="23" customFormat="1" ht="18" customHeight="1" x14ac:dyDescent="0.35">
      <c r="A43" s="43"/>
      <c r="B43" s="51"/>
      <c r="C43" s="51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1"/>
      <c r="O43" s="51"/>
      <c r="P43" s="51"/>
      <c r="Q43" s="51"/>
      <c r="R43" s="51"/>
      <c r="S43" s="51"/>
      <c r="T43" s="51"/>
      <c r="U43" s="51"/>
      <c r="V43" s="51"/>
      <c r="W43" s="51"/>
      <c r="X43" s="51"/>
      <c r="Y43" s="20"/>
    </row>
    <row r="44" spans="1:25" s="15" customFormat="1" ht="30" customHeight="1" x14ac:dyDescent="0.45">
      <c r="B44" s="56" t="s">
        <v>19</v>
      </c>
      <c r="C44" s="51"/>
      <c r="D44" s="51"/>
      <c r="E44" s="51"/>
      <c r="F44" s="51"/>
      <c r="G44" s="51"/>
      <c r="H44" s="51"/>
      <c r="I44" s="51"/>
      <c r="J44" s="51"/>
      <c r="K44" s="51"/>
      <c r="L44" s="51"/>
      <c r="M44" s="16"/>
      <c r="N44" s="73" t="s">
        <v>24</v>
      </c>
      <c r="O44" s="74"/>
      <c r="P44" s="74"/>
      <c r="Q44" s="74"/>
      <c r="R44" s="74"/>
      <c r="S44" s="74"/>
      <c r="T44" s="74"/>
      <c r="U44" s="74"/>
      <c r="V44" s="74"/>
      <c r="W44" s="74"/>
      <c r="X44" s="74"/>
    </row>
    <row r="45" spans="1:25" s="14" customFormat="1" ht="30" customHeight="1" x14ac:dyDescent="0.45">
      <c r="B45" s="51"/>
      <c r="C45" s="51"/>
      <c r="D45" s="51"/>
      <c r="E45" s="51"/>
      <c r="F45" s="51"/>
      <c r="G45" s="51"/>
      <c r="H45" s="51"/>
      <c r="I45" s="51"/>
      <c r="J45" s="51"/>
      <c r="K45" s="51"/>
      <c r="L45" s="51"/>
      <c r="M45" s="16"/>
    </row>
    <row r="46" spans="1:25" s="14" customFormat="1" ht="30" customHeight="1" x14ac:dyDescent="0.45">
      <c r="B46" s="55" t="s">
        <v>28</v>
      </c>
      <c r="C46" s="54"/>
      <c r="D46" s="54"/>
      <c r="E46" s="54"/>
      <c r="F46" s="54"/>
      <c r="G46" s="54"/>
      <c r="H46" s="54"/>
      <c r="I46" s="54"/>
      <c r="J46" s="54"/>
      <c r="K46" s="54"/>
      <c r="L46" s="54"/>
      <c r="M46" s="16"/>
      <c r="N46" s="63" t="s">
        <v>22</v>
      </c>
      <c r="O46" s="64"/>
      <c r="P46" s="64"/>
      <c r="Q46" s="64"/>
      <c r="R46" s="64"/>
      <c r="S46" s="64"/>
      <c r="T46" s="64"/>
      <c r="U46" s="64"/>
      <c r="V46" s="64"/>
      <c r="W46" s="64"/>
      <c r="X46" s="64"/>
    </row>
    <row r="47" spans="1:25" s="14" customFormat="1" ht="30" customHeight="1" x14ac:dyDescent="0.45">
      <c r="B47" s="60" t="s">
        <v>27</v>
      </c>
      <c r="C47" s="61"/>
      <c r="D47" s="61"/>
      <c r="E47" s="61"/>
      <c r="F47" s="61"/>
      <c r="G47" s="61"/>
      <c r="H47" s="61"/>
      <c r="I47" s="61"/>
      <c r="J47" s="61"/>
      <c r="K47" s="61"/>
      <c r="L47" s="61"/>
      <c r="M47" s="16"/>
      <c r="N47" s="64"/>
      <c r="O47" s="64"/>
      <c r="P47" s="64"/>
      <c r="Q47" s="64"/>
      <c r="R47" s="64"/>
      <c r="S47" s="64"/>
      <c r="T47" s="64"/>
      <c r="U47" s="64"/>
      <c r="V47" s="64"/>
      <c r="W47" s="64"/>
      <c r="X47" s="64"/>
    </row>
    <row r="48" spans="1:25" s="14" customFormat="1" ht="50.4" customHeight="1" x14ac:dyDescent="0.45">
      <c r="B48" s="61"/>
      <c r="C48" s="61"/>
      <c r="D48" s="61"/>
      <c r="E48" s="61"/>
      <c r="F48" s="61"/>
      <c r="G48" s="61"/>
      <c r="H48" s="61"/>
      <c r="I48" s="61"/>
      <c r="J48" s="61"/>
      <c r="K48" s="61"/>
      <c r="L48" s="61"/>
      <c r="M48" s="16"/>
      <c r="N48" s="62" t="s">
        <v>20</v>
      </c>
      <c r="O48" s="62"/>
      <c r="P48" s="62"/>
      <c r="Q48" s="62"/>
      <c r="R48" s="62"/>
      <c r="S48" s="62"/>
      <c r="T48" s="62"/>
      <c r="U48" s="62"/>
      <c r="V48" s="62"/>
      <c r="W48" s="62"/>
      <c r="X48" s="62"/>
    </row>
    <row r="49" spans="2:24" s="14" customFormat="1" ht="30" customHeight="1" x14ac:dyDescent="0.45">
      <c r="B49" s="53" t="s">
        <v>26</v>
      </c>
      <c r="C49" s="54"/>
      <c r="D49" s="54"/>
      <c r="E49" s="54"/>
      <c r="F49" s="54"/>
      <c r="G49" s="54"/>
      <c r="H49" s="54"/>
      <c r="I49" s="54"/>
      <c r="J49" s="54"/>
      <c r="K49" s="54"/>
      <c r="L49" s="54"/>
      <c r="N49" s="59" t="s">
        <v>21</v>
      </c>
      <c r="O49" s="59"/>
      <c r="P49" s="59"/>
      <c r="Q49" s="59"/>
      <c r="R49" s="59"/>
      <c r="S49" s="59"/>
      <c r="T49" s="59"/>
      <c r="U49" s="59"/>
      <c r="V49" s="59"/>
      <c r="W49" s="59"/>
      <c r="X49" s="59"/>
    </row>
    <row r="50" spans="2:24" ht="40.200000000000003" customHeight="1" x14ac:dyDescent="0.45">
      <c r="B50" s="53" t="s">
        <v>25</v>
      </c>
      <c r="C50" s="54"/>
      <c r="D50" s="54"/>
      <c r="E50" s="54"/>
      <c r="F50" s="54"/>
      <c r="G50" s="54"/>
      <c r="H50" s="54"/>
      <c r="I50" s="54"/>
      <c r="J50" s="54"/>
      <c r="K50" s="54"/>
      <c r="L50" s="54"/>
      <c r="N50" s="65" t="s">
        <v>31</v>
      </c>
      <c r="O50" s="66"/>
      <c r="P50" s="66"/>
      <c r="Q50" s="66"/>
      <c r="R50" s="66"/>
      <c r="S50" s="66"/>
      <c r="T50" s="66"/>
      <c r="U50" s="66"/>
      <c r="V50" s="66"/>
      <c r="W50" s="66"/>
      <c r="X50" s="66"/>
    </row>
    <row r="51" spans="2:24" ht="40.200000000000003" customHeight="1" x14ac:dyDescent="0.45">
      <c r="B51" s="72"/>
      <c r="C51" s="54"/>
      <c r="D51" s="54"/>
      <c r="E51" s="54"/>
      <c r="F51" s="54"/>
      <c r="G51" s="54"/>
      <c r="H51" s="54"/>
      <c r="I51" s="54"/>
      <c r="J51" s="54"/>
      <c r="K51" s="54"/>
      <c r="L51" s="54"/>
      <c r="N51" s="66"/>
      <c r="O51" s="66"/>
      <c r="P51" s="66"/>
      <c r="Q51" s="66"/>
      <c r="R51" s="66"/>
      <c r="S51" s="66"/>
      <c r="T51" s="66"/>
      <c r="U51" s="66"/>
      <c r="V51" s="66"/>
      <c r="W51" s="66"/>
      <c r="X51" s="66"/>
    </row>
  </sheetData>
  <dataConsolidate/>
  <mergeCells count="30">
    <mergeCell ref="B50:L50"/>
    <mergeCell ref="N50:X51"/>
    <mergeCell ref="A1:Y1"/>
    <mergeCell ref="B7:H7"/>
    <mergeCell ref="B16:H16"/>
    <mergeCell ref="B25:H25"/>
    <mergeCell ref="R7:X7"/>
    <mergeCell ref="R16:X16"/>
    <mergeCell ref="R25:X25"/>
    <mergeCell ref="J7:P7"/>
    <mergeCell ref="B2:X2"/>
    <mergeCell ref="B3:X3"/>
    <mergeCell ref="J16:P16"/>
    <mergeCell ref="J25:P25"/>
    <mergeCell ref="B51:L51"/>
    <mergeCell ref="N44:X44"/>
    <mergeCell ref="B42:X43"/>
    <mergeCell ref="B4:X5"/>
    <mergeCell ref="A3:A33"/>
    <mergeCell ref="B49:L49"/>
    <mergeCell ref="B46:L46"/>
    <mergeCell ref="B44:L45"/>
    <mergeCell ref="A34:A42"/>
    <mergeCell ref="J34:P34"/>
    <mergeCell ref="N49:X49"/>
    <mergeCell ref="R34:X34"/>
    <mergeCell ref="B47:L48"/>
    <mergeCell ref="N48:X48"/>
    <mergeCell ref="B34:H34"/>
    <mergeCell ref="N46:X47"/>
  </mergeCells>
  <phoneticPr fontId="1" type="noConversion"/>
  <dataValidations count="15">
    <dataValidation allowBlank="1" showInputMessage="1" showErrorMessage="1" prompt="Calendar Month is in this cell. Calendar for this month is automatically updated in cells B6 through H11" sqref="B7:H7" xr:uid="{00000000-0002-0000-0000-000002000000}"/>
    <dataValidation allowBlank="1" showInputMessage="1" showErrorMessage="1" prompt="Calendar Month is in this cell. Calendar for this month is automatically updated in cells J6 through P11" sqref="B16:H16" xr:uid="{00000000-0002-0000-0000-000003000000}"/>
    <dataValidation allowBlank="1" showInputMessage="1" showErrorMessage="1" prompt="Calendar Month is in this cell. Calendar for this month is automatically updated in cells R6 through X11" sqref="B25:H25" xr:uid="{00000000-0002-0000-0000-000004000000}"/>
    <dataValidation allowBlank="1" showInputMessage="1" showErrorMessage="1" prompt="Calendar Month is in this cell. Calendar for this month is automatically updated in cells Z6 through AF11" sqref="B34:H34" xr:uid="{00000000-0002-0000-0000-000005000000}"/>
    <dataValidation allowBlank="1" showInputMessage="1" showErrorMessage="1" prompt="Calendar Month is in this cell. Calendar for this month is automatically updated in cells B15 through H20" sqref="J7:P7" xr:uid="{00000000-0002-0000-0000-000006000000}"/>
    <dataValidation allowBlank="1" showInputMessage="1" showErrorMessage="1" prompt="Calendar Month is in this cell. Calendar for this month is automatically updated in cells B24 through H29" sqref="R7:X7" xr:uid="{00000000-0002-0000-0000-000007000000}"/>
    <dataValidation allowBlank="1" showInputMessage="1" showErrorMessage="1" prompt="Calendar Month is in this cell. Calendar for this month is automatically updated in cells J15 through P20" sqref="J16:P16" xr:uid="{00000000-0002-0000-0000-000008000000}"/>
    <dataValidation allowBlank="1" showInputMessage="1" showErrorMessage="1" prompt="Calendar Month is in this cell. Calendar for this month is automatically updated in cells R15 through X20" sqref="J25:P25" xr:uid="{00000000-0002-0000-0000-000009000000}"/>
    <dataValidation allowBlank="1" showInputMessage="1" showErrorMessage="1" prompt="Calendar Month is in this cell. Calendar for this month is automatically updated in cells Z15 through AF20" sqref="J34:P34" xr:uid="{00000000-0002-0000-0000-00000A000000}"/>
    <dataValidation allowBlank="1" showInputMessage="1" showErrorMessage="1" prompt="Calendar Month is in this cell. Calendar for this month is automatically updated in cells J24 through P29" sqref="R16:X16" xr:uid="{00000000-0002-0000-0000-00000B000000}"/>
    <dataValidation allowBlank="1" showInputMessage="1" showErrorMessage="1" prompt="Calendar Month is in this cell. Calendar for this month is automatically updated in cells R24 through X29" sqref="R25:X25" xr:uid="{00000000-0002-0000-0000-00000C000000}"/>
    <dataValidation allowBlank="1" showInputMessage="1" showErrorMessage="1" prompt="Calendar Month is in this cell. Calendar for this month is automatically updated in cells Z24 through AF29" sqref="R34:X34" xr:uid="{00000000-0002-0000-0000-00000D000000}"/>
    <dataValidation allowBlank="1" showInputMessage="1" showErrorMessage="1" prompt="Calendar days for this month are automatically updated" sqref="B9 J27 R18 J18 J9 B18 R9 B27 R27 B36 J36 R36" xr:uid="{00000000-0002-0000-0000-00001A000000}"/>
    <dataValidation allowBlank="1" showInputMessage="1" showErrorMessage="1" prompt="Create a calendar for any year using this Calendar Creator worksheet. Enter Year in cell B2 to automatically update calendar for each month" sqref="A1:Y1" xr:uid="{8DD8792B-9AAD-452D-B25D-A015EEAB4AA8}"/>
    <dataValidation allowBlank="1" showInputMessage="1" showErrorMessage="1" prompt="Enter Year in this cell to automatically update calendar for each month in cells B4 through AF29" sqref="B2:B3" xr:uid="{DA4E22B5-87CC-4828-B471-3972D47BB071}"/>
  </dataValidations>
  <printOptions horizontalCentered="1" verticalCentered="1"/>
  <pageMargins left="0.25" right="0.25" top="0.5" bottom="0.5" header="0.5" footer="0.5"/>
  <pageSetup scale="49" orientation="portrait" r:id="rId1"/>
  <headerFooter differentFirst="1">
    <oddFooter>Page &amp;P of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28" ma:contentTypeDescription="Create a new document." ma:contentTypeScope="" ma:versionID="60f5a4f2d2b0abadcf532d48ebf9cb71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7dd78129e6a1811f84807ad11c651531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  <xsd:element ref="ns2:MediaServiceSearchProperties" minOccurs="0"/>
                <xsd:element ref="ns2:MediaServiceDocTags" minOccurs="0"/>
                <xsd:element ref="ns2:MediaServiceObjectDetectorVersions" minOccurs="0"/>
                <xsd:element ref="ns2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internalName="Background">
      <xsd:simpleType>
        <xsd:restriction base="dms:Boolean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ocTags" ma:index="30" nillable="true" ma:displayName="MediaServiceDocTags" ma:hidden="true" ma:internalName="MediaServiceDocTags" ma:readOnly="true">
      <xsd:simpleType>
        <xsd:restriction base="dms:Note"/>
      </xsd:simpleType>
    </xsd:element>
    <xsd:element name="MediaServiceObjectDetectorVersions" ma:index="3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32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Image xmlns="71af3243-3dd4-4a8d-8c0d-dd76da1f02a5">
      <Url xsi:nil="true"/>
      <Description xsi:nil="true"/>
    </Image>
    <Status xmlns="71af3243-3dd4-4a8d-8c0d-dd76da1f02a5">Not started</Status>
    <Background xmlns="71af3243-3dd4-4a8d-8c0d-dd76da1f02a5">false</Background>
    <_ip_UnifiedCompliancePolicyProperties xmlns="http://schemas.microsoft.com/sharepoint/v3" xsi:nil="true"/>
    <ImageTagsTaxHTField xmlns="71af3243-3dd4-4a8d-8c0d-dd76da1f02a5">
      <Terms xmlns="http://schemas.microsoft.com/office/infopath/2007/PartnerControls"/>
    </ImageTagsTaxHTField>
    <TaxCatchAll xmlns="230e9df3-be65-4c73-a93b-d1236ebd677e" xsi:nil="true"/>
    <MediaServiceKeyPoints xmlns="71af3243-3dd4-4a8d-8c0d-dd76da1f02a5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044D704-2D8A-4004-831F-70B1C5F6C33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1af3243-3dd4-4a8d-8c0d-dd76da1f02a5"/>
    <ds:schemaRef ds:uri="16c05727-aa75-4e4a-9b5f-8a80a1165891"/>
    <ds:schemaRef ds:uri="230e9df3-be65-4c73-a93b-d1236ebd67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FF5080A-364E-47B7-AB19-691ED527DA4F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71af3243-3dd4-4a8d-8c0d-dd76da1f02a5"/>
    <ds:schemaRef ds:uri="230e9df3-be65-4c73-a93b-d1236ebd677e"/>
  </ds:schemaRefs>
</ds:datastoreItem>
</file>

<file path=customXml/itemProps3.xml><?xml version="1.0" encoding="utf-8"?>
<ds:datastoreItem xmlns:ds="http://schemas.openxmlformats.org/officeDocument/2006/customXml" ds:itemID="{ED168728-3793-4F1A-9BA3-28DF673AB828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/>
</file>

<file path=docProps/app.xml><?xml version="1.0" encoding="utf-8"?>
<Properties xmlns="http://schemas.openxmlformats.org/officeDocument/2006/extended-properties" xmlns:vt="http://schemas.openxmlformats.org/officeDocument/2006/docPropsVTypes">
  <Template>TM16400586</Template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14</vt:i4>
      </vt:variant>
    </vt:vector>
  </HeadingPairs>
  <TitlesOfParts>
    <vt:vector size="15" baseType="lpstr">
      <vt:lpstr>Calendar</vt:lpstr>
      <vt:lpstr>ColumnTitleRegion1..H9.1</vt:lpstr>
      <vt:lpstr>ColumnTitleRegion1..I9.1</vt:lpstr>
      <vt:lpstr>ColumnTitleRegion2..H18.1</vt:lpstr>
      <vt:lpstr>ColumnTitleRegion2..I18.1</vt:lpstr>
      <vt:lpstr>ColumnTitleRegion3..H27.1</vt:lpstr>
      <vt:lpstr>ColumnTitleRegion3..I27.1</vt:lpstr>
      <vt:lpstr>ColumnTitleRegion4..P9.1</vt:lpstr>
      <vt:lpstr>ColumnTitleRegion4..Q9.1</vt:lpstr>
      <vt:lpstr>ColumnTitleRegion5..P18.1</vt:lpstr>
      <vt:lpstr>ColumnTitleRegion5..Q18.1</vt:lpstr>
      <vt:lpstr>ColumnTitleRegion6..P27.1</vt:lpstr>
      <vt:lpstr>ColumnTitleRegion6..Q27.1</vt:lpstr>
      <vt:lpstr>Calendar!Print_Area</vt:lpstr>
      <vt:lpstr>Year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2023-05-25T18:45:24Z</dcterms:created>
  <dcterms:modified xsi:type="dcterms:W3CDTF">2026-01-19T06:12:21Z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